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s\отдел мониторинга и планирования\ЗАКОНЫ\РКП\РКП 26-28\"/>
    </mc:Choice>
  </mc:AlternateContent>
  <bookViews>
    <workbookView xWindow="0" yWindow="0" windowWidth="24000" windowHeight="9735" tabRatio="897" activeTab="2"/>
  </bookViews>
  <sheets>
    <sheet name="часть 1" sheetId="38" r:id="rId1"/>
    <sheet name="часть 2" sheetId="37" r:id="rId2"/>
    <sheet name="часть 3" sheetId="39" r:id="rId3"/>
  </sheets>
  <definedNames>
    <definedName name="_xlnm.Print_Titles" localSheetId="0">'часть 1'!$8:$12</definedName>
    <definedName name="_xlnm.Print_Titles" localSheetId="1">'часть 2'!$2:$6</definedName>
    <definedName name="_xlnm.Print_Titles" localSheetId="2">'часть 3'!$2:$5</definedName>
    <definedName name="_xlnm.Print_Area" localSheetId="0">'часть 1'!$A$1:$S$822</definedName>
    <definedName name="_xlnm.Print_Area" localSheetId="1">'часть 2'!$A$1:$AA$782</definedName>
    <definedName name="_xlnm.Print_Area" localSheetId="2">'часть 3'!$A$1:$F$131</definedName>
    <definedName name="Перечень" localSheetId="0">#REF!</definedName>
    <definedName name="Перечень" localSheetId="2">#REF!</definedName>
    <definedName name="Перечень">#REF!</definedName>
    <definedName name="Перечень2" localSheetId="0">#REF!</definedName>
    <definedName name="Перечень2" localSheetId="2">#REF!</definedName>
    <definedName name="Перечень2">#REF!</definedName>
    <definedName name="Перечень3" localSheetId="0">#REF!</definedName>
    <definedName name="Перечень3" localSheetId="2">#REF!</definedName>
    <definedName name="Перечень3">#REF!</definedName>
    <definedName name="Перечень4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0" i="38" l="1"/>
  <c r="Z358" i="37" l="1"/>
  <c r="P358" i="37"/>
  <c r="O358" i="37"/>
  <c r="E95" i="39"/>
  <c r="H759" i="38"/>
  <c r="I759" i="38"/>
  <c r="J759" i="38"/>
  <c r="D118" i="39" s="1"/>
  <c r="K759" i="38"/>
  <c r="F118" i="39" s="1"/>
  <c r="L759" i="38"/>
  <c r="M759" i="38"/>
  <c r="N759" i="38"/>
  <c r="O759" i="38"/>
  <c r="P759" i="38"/>
  <c r="Q759" i="38"/>
  <c r="G759" i="38"/>
  <c r="C118" i="39" s="1"/>
  <c r="C506" i="37"/>
  <c r="D469" i="37"/>
  <c r="C469" i="37" s="1"/>
  <c r="C409" i="37"/>
  <c r="D436" i="37"/>
  <c r="C436" i="37" s="1"/>
  <c r="H722" i="38"/>
  <c r="I722" i="38"/>
  <c r="J722" i="38"/>
  <c r="D113" i="39" s="1"/>
  <c r="L722" i="38"/>
  <c r="M722" i="38"/>
  <c r="N722" i="38"/>
  <c r="O722" i="38"/>
  <c r="P722" i="38"/>
  <c r="Q722" i="38"/>
  <c r="G722" i="38"/>
  <c r="C113" i="39" s="1"/>
  <c r="E697" i="37"/>
  <c r="F697" i="37"/>
  <c r="G697" i="37"/>
  <c r="H697" i="37"/>
  <c r="I697" i="37"/>
  <c r="J697" i="37"/>
  <c r="K697" i="37"/>
  <c r="L697" i="37"/>
  <c r="M697" i="37"/>
  <c r="N697" i="37"/>
  <c r="O697" i="37"/>
  <c r="P697" i="37"/>
  <c r="Q697" i="37"/>
  <c r="R697" i="37"/>
  <c r="S697" i="37"/>
  <c r="T697" i="37"/>
  <c r="U697" i="37"/>
  <c r="V697" i="37"/>
  <c r="W697" i="37"/>
  <c r="X697" i="37"/>
  <c r="Y697" i="37"/>
  <c r="Z697" i="37"/>
  <c r="AA697" i="37"/>
  <c r="D543" i="37"/>
  <c r="D505" i="37"/>
  <c r="C505" i="37" s="1"/>
  <c r="D502" i="37"/>
  <c r="C502" i="37" s="1"/>
  <c r="D497" i="37"/>
  <c r="C497" i="37" s="1"/>
  <c r="C234" i="37" l="1"/>
  <c r="D234" i="37"/>
  <c r="E68" i="39"/>
  <c r="E40" i="39"/>
  <c r="E9" i="39" l="1"/>
  <c r="E7" i="39" s="1"/>
  <c r="E279" i="37"/>
  <c r="F279" i="37"/>
  <c r="G279" i="37"/>
  <c r="H279" i="37"/>
  <c r="I279" i="37"/>
  <c r="J279" i="37"/>
  <c r="K279" i="37"/>
  <c r="L279" i="37"/>
  <c r="M279" i="37"/>
  <c r="N279" i="37"/>
  <c r="O279" i="37"/>
  <c r="P279" i="37"/>
  <c r="Q279" i="37"/>
  <c r="R279" i="37"/>
  <c r="S279" i="37"/>
  <c r="T279" i="37"/>
  <c r="U279" i="37"/>
  <c r="V279" i="37"/>
  <c r="W279" i="37"/>
  <c r="X279" i="37"/>
  <c r="Y279" i="37"/>
  <c r="Z279" i="37"/>
  <c r="AA279" i="37"/>
  <c r="D280" i="37"/>
  <c r="C280" i="37" s="1"/>
  <c r="C279" i="37" s="1"/>
  <c r="H295" i="38"/>
  <c r="I295" i="38"/>
  <c r="J295" i="38"/>
  <c r="D65" i="39" s="1"/>
  <c r="K295" i="38"/>
  <c r="F65" i="39" s="1"/>
  <c r="L295" i="38"/>
  <c r="M295" i="38"/>
  <c r="N295" i="38"/>
  <c r="O295" i="38"/>
  <c r="P295" i="38"/>
  <c r="Q295" i="38"/>
  <c r="G295" i="38"/>
  <c r="C65" i="39" s="1"/>
  <c r="D279" i="37" l="1"/>
  <c r="H271" i="38" l="1"/>
  <c r="I271" i="38"/>
  <c r="J271" i="38"/>
  <c r="D60" i="39" s="1"/>
  <c r="K271" i="38"/>
  <c r="F60" i="39" s="1"/>
  <c r="L271" i="38"/>
  <c r="M271" i="38"/>
  <c r="N271" i="38"/>
  <c r="O271" i="38"/>
  <c r="P271" i="38"/>
  <c r="Q271" i="38"/>
  <c r="G271" i="38"/>
  <c r="C60" i="39" s="1"/>
  <c r="H17" i="38" l="1"/>
  <c r="J17" i="38"/>
  <c r="D10" i="39" s="1"/>
  <c r="L17" i="38"/>
  <c r="M17" i="38"/>
  <c r="N17" i="38"/>
  <c r="O17" i="38"/>
  <c r="P17" i="38"/>
  <c r="Q17" i="38"/>
  <c r="E741" i="37"/>
  <c r="F741" i="37"/>
  <c r="G741" i="37"/>
  <c r="H741" i="37"/>
  <c r="I741" i="37"/>
  <c r="J741" i="37"/>
  <c r="K741" i="37"/>
  <c r="L741" i="37"/>
  <c r="M741" i="37"/>
  <c r="N741" i="37"/>
  <c r="O741" i="37"/>
  <c r="P741" i="37"/>
  <c r="Q741" i="37"/>
  <c r="R741" i="37"/>
  <c r="S741" i="37"/>
  <c r="T741" i="37"/>
  <c r="U741" i="37"/>
  <c r="W741" i="37"/>
  <c r="X741" i="37"/>
  <c r="Y741" i="37"/>
  <c r="Z741" i="37"/>
  <c r="AA741" i="37"/>
  <c r="D760" i="37"/>
  <c r="C760" i="37" s="1"/>
  <c r="D759" i="37"/>
  <c r="C759" i="37" s="1"/>
  <c r="V758" i="37"/>
  <c r="V741" i="37" s="1"/>
  <c r="D758" i="37"/>
  <c r="D757" i="37"/>
  <c r="C757" i="37" s="1"/>
  <c r="D756" i="37"/>
  <c r="C756" i="37" s="1"/>
  <c r="D755" i="37"/>
  <c r="C755" i="37" s="1"/>
  <c r="D754" i="37"/>
  <c r="C754" i="37" s="1"/>
  <c r="D753" i="37"/>
  <c r="C753" i="37" s="1"/>
  <c r="D752" i="37"/>
  <c r="C752" i="37" s="1"/>
  <c r="D751" i="37"/>
  <c r="C751" i="37" s="1"/>
  <c r="D750" i="37"/>
  <c r="C750" i="37" s="1"/>
  <c r="D749" i="37"/>
  <c r="C749" i="37" s="1"/>
  <c r="D748" i="37"/>
  <c r="C748" i="37" s="1"/>
  <c r="D747" i="37"/>
  <c r="C747" i="37" s="1"/>
  <c r="D746" i="37"/>
  <c r="C746" i="37" s="1"/>
  <c r="D745" i="37"/>
  <c r="C745" i="37" s="1"/>
  <c r="D744" i="37"/>
  <c r="C744" i="37" s="1"/>
  <c r="D742" i="37"/>
  <c r="C742" i="37" s="1"/>
  <c r="E371" i="37"/>
  <c r="F371" i="37"/>
  <c r="G371" i="37"/>
  <c r="H371" i="37"/>
  <c r="I371" i="37"/>
  <c r="J371" i="37"/>
  <c r="K371" i="37"/>
  <c r="L371" i="37"/>
  <c r="M371" i="37"/>
  <c r="N371" i="37"/>
  <c r="O371" i="37"/>
  <c r="P371" i="37"/>
  <c r="Q371" i="37"/>
  <c r="R371" i="37"/>
  <c r="S371" i="37"/>
  <c r="T371" i="37"/>
  <c r="U371" i="37"/>
  <c r="V371" i="37"/>
  <c r="W371" i="37"/>
  <c r="X371" i="37"/>
  <c r="Y371" i="37"/>
  <c r="Z371" i="37"/>
  <c r="AA371" i="37"/>
  <c r="D379" i="37"/>
  <c r="C379" i="37" s="1"/>
  <c r="D378" i="37"/>
  <c r="C378" i="37" s="1"/>
  <c r="D377" i="37"/>
  <c r="C377" i="37" s="1"/>
  <c r="D376" i="37"/>
  <c r="C376" i="37" s="1"/>
  <c r="D375" i="37"/>
  <c r="C375" i="37" s="1"/>
  <c r="D374" i="37"/>
  <c r="C374" i="37" s="1"/>
  <c r="D373" i="37"/>
  <c r="C373" i="37" s="1"/>
  <c r="D372" i="37"/>
  <c r="C372" i="37" s="1"/>
  <c r="E255" i="37"/>
  <c r="F255" i="37"/>
  <c r="G255" i="37"/>
  <c r="H255" i="37"/>
  <c r="I255" i="37"/>
  <c r="J255" i="37"/>
  <c r="K255" i="37"/>
  <c r="L255" i="37"/>
  <c r="M255" i="37"/>
  <c r="N255" i="37"/>
  <c r="O255" i="37"/>
  <c r="P255" i="37"/>
  <c r="Q255" i="37"/>
  <c r="R255" i="37"/>
  <c r="S255" i="37"/>
  <c r="T255" i="37"/>
  <c r="U255" i="37"/>
  <c r="V255" i="37"/>
  <c r="W255" i="37"/>
  <c r="X255" i="37"/>
  <c r="Y255" i="37"/>
  <c r="Z255" i="37"/>
  <c r="AA255" i="37"/>
  <c r="C265" i="37"/>
  <c r="D264" i="37"/>
  <c r="C264" i="37" s="1"/>
  <c r="D263" i="37"/>
  <c r="C263" i="37" s="1"/>
  <c r="D262" i="37"/>
  <c r="C262" i="37" s="1"/>
  <c r="D261" i="37"/>
  <c r="C261" i="37" s="1"/>
  <c r="D260" i="37"/>
  <c r="C260" i="37" s="1"/>
  <c r="D259" i="37"/>
  <c r="C259" i="37" s="1"/>
  <c r="D258" i="37"/>
  <c r="C258" i="37" s="1"/>
  <c r="D257" i="37"/>
  <c r="C257" i="37" s="1"/>
  <c r="D256" i="37"/>
  <c r="E141" i="37"/>
  <c r="F141" i="37"/>
  <c r="G141" i="37"/>
  <c r="H141" i="37"/>
  <c r="I141" i="37"/>
  <c r="J141" i="37"/>
  <c r="K141" i="37"/>
  <c r="L141" i="37"/>
  <c r="M141" i="37"/>
  <c r="N141" i="37"/>
  <c r="O141" i="37"/>
  <c r="P141" i="37"/>
  <c r="Q141" i="37"/>
  <c r="R141" i="37"/>
  <c r="S141" i="37"/>
  <c r="T141" i="37"/>
  <c r="U141" i="37"/>
  <c r="V141" i="37"/>
  <c r="W141" i="37"/>
  <c r="X141" i="37"/>
  <c r="Y141" i="37"/>
  <c r="Z141" i="37"/>
  <c r="AA141" i="37"/>
  <c r="D152" i="37"/>
  <c r="C152" i="37" s="1"/>
  <c r="D151" i="37"/>
  <c r="C151" i="37" s="1"/>
  <c r="D150" i="37"/>
  <c r="C150" i="37" s="1"/>
  <c r="D149" i="37"/>
  <c r="C149" i="37" s="1"/>
  <c r="D148" i="37"/>
  <c r="C148" i="37" s="1"/>
  <c r="D147" i="37"/>
  <c r="C147" i="37" s="1"/>
  <c r="D146" i="37"/>
  <c r="C146" i="37" s="1"/>
  <c r="D145" i="37"/>
  <c r="C145" i="37" s="1"/>
  <c r="D144" i="37"/>
  <c r="C144" i="37" s="1"/>
  <c r="D143" i="37"/>
  <c r="C143" i="37" s="1"/>
  <c r="D142" i="37"/>
  <c r="C142" i="37" s="1"/>
  <c r="H766" i="38"/>
  <c r="I766" i="38"/>
  <c r="J766" i="38"/>
  <c r="D121" i="39" s="1"/>
  <c r="K766" i="38"/>
  <c r="F121" i="39" s="1"/>
  <c r="L766" i="38"/>
  <c r="M766" i="38"/>
  <c r="O766" i="38"/>
  <c r="P766" i="38"/>
  <c r="G766" i="38"/>
  <c r="C121" i="39" s="1"/>
  <c r="Q778" i="38"/>
  <c r="Q777" i="38"/>
  <c r="Q774" i="38"/>
  <c r="Q773" i="38"/>
  <c r="Q770" i="38"/>
  <c r="Q769" i="38"/>
  <c r="Q785" i="38"/>
  <c r="Q784" i="38"/>
  <c r="N783" i="38"/>
  <c r="N766" i="38" s="1"/>
  <c r="Q782" i="38"/>
  <c r="Q781" i="38"/>
  <c r="Q780" i="38"/>
  <c r="Q779" i="38"/>
  <c r="Q776" i="38"/>
  <c r="Q775" i="38"/>
  <c r="Q772" i="38"/>
  <c r="Q771" i="38"/>
  <c r="Q767" i="38"/>
  <c r="H395" i="38"/>
  <c r="I395" i="38"/>
  <c r="J395" i="38"/>
  <c r="D89" i="39" s="1"/>
  <c r="K395" i="38"/>
  <c r="F89" i="39" s="1"/>
  <c r="L395" i="38"/>
  <c r="M395" i="38"/>
  <c r="N395" i="38"/>
  <c r="O395" i="38"/>
  <c r="P395" i="38"/>
  <c r="Q395" i="38"/>
  <c r="G395" i="38"/>
  <c r="C89" i="39" s="1"/>
  <c r="Q783" i="38" l="1"/>
  <c r="Q766" i="38" s="1"/>
  <c r="D741" i="37"/>
  <c r="C371" i="37"/>
  <c r="C255" i="37"/>
  <c r="C758" i="37"/>
  <c r="C741" i="37" s="1"/>
  <c r="D371" i="37"/>
  <c r="D255" i="37"/>
  <c r="C141" i="37"/>
  <c r="D141" i="37"/>
  <c r="E774" i="37" l="1"/>
  <c r="F774" i="37"/>
  <c r="G774" i="37"/>
  <c r="H774" i="37"/>
  <c r="I774" i="37"/>
  <c r="J774" i="37"/>
  <c r="K774" i="37"/>
  <c r="L774" i="37"/>
  <c r="M774" i="37"/>
  <c r="N774" i="37"/>
  <c r="O774" i="37"/>
  <c r="P774" i="37"/>
  <c r="Q774" i="37"/>
  <c r="R774" i="37"/>
  <c r="S774" i="37"/>
  <c r="T774" i="37"/>
  <c r="U774" i="37"/>
  <c r="V774" i="37"/>
  <c r="W774" i="37"/>
  <c r="X774" i="37"/>
  <c r="Y774" i="37"/>
  <c r="Z774" i="37"/>
  <c r="AA774" i="37"/>
  <c r="D776" i="37"/>
  <c r="D775" i="37"/>
  <c r="E385" i="37"/>
  <c r="F385" i="37"/>
  <c r="G385" i="37"/>
  <c r="H385" i="37"/>
  <c r="I385" i="37"/>
  <c r="J385" i="37"/>
  <c r="K385" i="37"/>
  <c r="L385" i="37"/>
  <c r="M385" i="37"/>
  <c r="N385" i="37"/>
  <c r="O385" i="37"/>
  <c r="P385" i="37"/>
  <c r="Q385" i="37"/>
  <c r="R385" i="37"/>
  <c r="S385" i="37"/>
  <c r="T385" i="37"/>
  <c r="U385" i="37"/>
  <c r="V385" i="37"/>
  <c r="W385" i="37"/>
  <c r="X385" i="37"/>
  <c r="Y385" i="37"/>
  <c r="Z385" i="37"/>
  <c r="AA385" i="37"/>
  <c r="D387" i="37"/>
  <c r="C387" i="37"/>
  <c r="D386" i="37"/>
  <c r="C386" i="37"/>
  <c r="E281" i="37"/>
  <c r="F281" i="37"/>
  <c r="G281" i="37"/>
  <c r="H281" i="37"/>
  <c r="I281" i="37"/>
  <c r="J281" i="37"/>
  <c r="K281" i="37"/>
  <c r="L281" i="37"/>
  <c r="M281" i="37"/>
  <c r="N281" i="37"/>
  <c r="O281" i="37"/>
  <c r="P281" i="37"/>
  <c r="Q281" i="37"/>
  <c r="R281" i="37"/>
  <c r="S281" i="37"/>
  <c r="T281" i="37"/>
  <c r="U281" i="37"/>
  <c r="V281" i="37"/>
  <c r="W281" i="37"/>
  <c r="X281" i="37"/>
  <c r="Y281" i="37"/>
  <c r="Z281" i="37"/>
  <c r="AA281" i="37"/>
  <c r="D284" i="37"/>
  <c r="C284" i="37"/>
  <c r="D283" i="37"/>
  <c r="C283" i="37"/>
  <c r="D282" i="37"/>
  <c r="C282" i="37"/>
  <c r="E167" i="37"/>
  <c r="F167" i="37"/>
  <c r="G167" i="37"/>
  <c r="H167" i="37"/>
  <c r="I167" i="37"/>
  <c r="J167" i="37"/>
  <c r="K167" i="37"/>
  <c r="L167" i="37"/>
  <c r="M167" i="37"/>
  <c r="N167" i="37"/>
  <c r="O167" i="37"/>
  <c r="P167" i="37"/>
  <c r="Q167" i="37"/>
  <c r="R167" i="37"/>
  <c r="S167" i="37"/>
  <c r="T167" i="37"/>
  <c r="U167" i="37"/>
  <c r="V167" i="37"/>
  <c r="W167" i="37"/>
  <c r="X167" i="37"/>
  <c r="Y167" i="37"/>
  <c r="Z167" i="37"/>
  <c r="AA167" i="37"/>
  <c r="D174" i="37"/>
  <c r="D173" i="37"/>
  <c r="D172" i="37"/>
  <c r="D171" i="37"/>
  <c r="D170" i="37"/>
  <c r="C170" i="37" s="1"/>
  <c r="D169" i="37"/>
  <c r="C169" i="37" s="1"/>
  <c r="D168" i="37"/>
  <c r="C168" i="37" s="1"/>
  <c r="C174" i="37"/>
  <c r="C173" i="37"/>
  <c r="C171" i="37"/>
  <c r="H799" i="38"/>
  <c r="I799" i="38"/>
  <c r="J799" i="38"/>
  <c r="D128" i="39" s="1"/>
  <c r="K799" i="38"/>
  <c r="F128" i="39" s="1"/>
  <c r="L799" i="38"/>
  <c r="M799" i="38"/>
  <c r="N799" i="38"/>
  <c r="O799" i="38"/>
  <c r="P799" i="38"/>
  <c r="Q799" i="38"/>
  <c r="G799" i="38"/>
  <c r="C128" i="39" s="1"/>
  <c r="H409" i="38"/>
  <c r="I409" i="38"/>
  <c r="J409" i="38"/>
  <c r="D92" i="39" s="1"/>
  <c r="K409" i="38"/>
  <c r="F92" i="39" s="1"/>
  <c r="L409" i="38"/>
  <c r="M409" i="38"/>
  <c r="N409" i="38"/>
  <c r="O409" i="38"/>
  <c r="P409" i="38"/>
  <c r="Q409" i="38"/>
  <c r="G409" i="38"/>
  <c r="C92" i="39" s="1"/>
  <c r="H297" i="38"/>
  <c r="I297" i="38"/>
  <c r="J297" i="38"/>
  <c r="D66" i="39" s="1"/>
  <c r="K297" i="38"/>
  <c r="F66" i="39" s="1"/>
  <c r="L297" i="38"/>
  <c r="M297" i="38"/>
  <c r="N297" i="38"/>
  <c r="O297" i="38"/>
  <c r="P297" i="38"/>
  <c r="Q297" i="38"/>
  <c r="G297" i="38"/>
  <c r="C66" i="39" s="1"/>
  <c r="H160" i="38"/>
  <c r="I160" i="38"/>
  <c r="J160" i="38"/>
  <c r="D37" i="39" s="1"/>
  <c r="K160" i="38"/>
  <c r="F37" i="39" s="1"/>
  <c r="L160" i="38"/>
  <c r="M160" i="38"/>
  <c r="N160" i="38"/>
  <c r="O160" i="38"/>
  <c r="P160" i="38"/>
  <c r="Q160" i="38"/>
  <c r="G160" i="38"/>
  <c r="C37" i="39" s="1"/>
  <c r="D281" i="37" l="1"/>
  <c r="C385" i="37"/>
  <c r="D774" i="37"/>
  <c r="D385" i="37"/>
  <c r="C281" i="37"/>
  <c r="D167" i="37"/>
  <c r="AA392" i="37" l="1"/>
  <c r="Z392" i="37"/>
  <c r="Y392" i="37"/>
  <c r="X392" i="37"/>
  <c r="W392" i="37"/>
  <c r="V392" i="37"/>
  <c r="U392" i="37"/>
  <c r="T392" i="37"/>
  <c r="S392" i="37"/>
  <c r="R392" i="37"/>
  <c r="Q392" i="37"/>
  <c r="P392" i="37"/>
  <c r="O392" i="37"/>
  <c r="N392" i="37"/>
  <c r="M392" i="37"/>
  <c r="L392" i="37"/>
  <c r="K392" i="37"/>
  <c r="J392" i="37"/>
  <c r="H392" i="37"/>
  <c r="G392" i="37"/>
  <c r="F392" i="37"/>
  <c r="E392" i="37"/>
  <c r="D392" i="37"/>
  <c r="C392" i="37"/>
  <c r="I419" i="37"/>
  <c r="I392" i="37" s="1"/>
  <c r="D287" i="37"/>
  <c r="E287" i="37"/>
  <c r="F287" i="37"/>
  <c r="G287" i="37"/>
  <c r="H287" i="37"/>
  <c r="I287" i="37"/>
  <c r="J287" i="37"/>
  <c r="K287" i="37"/>
  <c r="L287" i="37"/>
  <c r="M287" i="37"/>
  <c r="N287" i="37"/>
  <c r="O287" i="37"/>
  <c r="P287" i="37"/>
  <c r="Q287" i="37"/>
  <c r="R287" i="37"/>
  <c r="S287" i="37"/>
  <c r="T287" i="37"/>
  <c r="U287" i="37"/>
  <c r="V287" i="37"/>
  <c r="W287" i="37"/>
  <c r="X287" i="37"/>
  <c r="Y287" i="37"/>
  <c r="Z287" i="37"/>
  <c r="AA287" i="37"/>
  <c r="C287" i="37"/>
  <c r="D179" i="37"/>
  <c r="E179" i="37"/>
  <c r="F179" i="37"/>
  <c r="G179" i="37"/>
  <c r="H179" i="37"/>
  <c r="I179" i="37"/>
  <c r="J179" i="37"/>
  <c r="K179" i="37"/>
  <c r="L179" i="37"/>
  <c r="M179" i="37"/>
  <c r="N179" i="37"/>
  <c r="O179" i="37"/>
  <c r="P179" i="37"/>
  <c r="Q179" i="37"/>
  <c r="R179" i="37"/>
  <c r="S179" i="37"/>
  <c r="T179" i="37"/>
  <c r="U179" i="37"/>
  <c r="V179" i="37"/>
  <c r="W179" i="37"/>
  <c r="X179" i="37"/>
  <c r="Y179" i="37"/>
  <c r="Z179" i="37"/>
  <c r="AA179" i="37"/>
  <c r="C179" i="37"/>
  <c r="D9" i="37"/>
  <c r="E9" i="37"/>
  <c r="F9" i="37"/>
  <c r="G9" i="37"/>
  <c r="H9" i="37"/>
  <c r="I9" i="37"/>
  <c r="J9" i="37"/>
  <c r="K9" i="37"/>
  <c r="L9" i="37"/>
  <c r="M9" i="37"/>
  <c r="N9" i="37"/>
  <c r="O9" i="37"/>
  <c r="P9" i="37"/>
  <c r="Q9" i="37"/>
  <c r="R9" i="37"/>
  <c r="S9" i="37"/>
  <c r="T9" i="37"/>
  <c r="U9" i="37"/>
  <c r="V9" i="37"/>
  <c r="W9" i="37"/>
  <c r="X9" i="37"/>
  <c r="Y9" i="37"/>
  <c r="Z9" i="37"/>
  <c r="AA9" i="37"/>
  <c r="C9" i="37"/>
  <c r="J424" i="38" l="1"/>
  <c r="D96" i="39" s="1"/>
  <c r="L424" i="38"/>
  <c r="M424" i="38"/>
  <c r="P424" i="38"/>
  <c r="Q424" i="38"/>
  <c r="O548" i="38"/>
  <c r="O546" i="38"/>
  <c r="K424" i="38"/>
  <c r="F96" i="39" s="1"/>
  <c r="N537" i="38"/>
  <c r="N532" i="38"/>
  <c r="I532" i="38"/>
  <c r="I528" i="38"/>
  <c r="N525" i="38"/>
  <c r="I525" i="38"/>
  <c r="O524" i="38"/>
  <c r="N524" i="38" s="1"/>
  <c r="I522" i="38"/>
  <c r="H521" i="38"/>
  <c r="H424" i="38" s="1"/>
  <c r="O520" i="38"/>
  <c r="I520" i="38"/>
  <c r="O515" i="38"/>
  <c r="O513" i="38"/>
  <c r="O512" i="38"/>
  <c r="O509" i="38"/>
  <c r="N507" i="38"/>
  <c r="O495" i="38"/>
  <c r="I492" i="38"/>
  <c r="O486" i="38"/>
  <c r="N485" i="38"/>
  <c r="O481" i="38"/>
  <c r="I478" i="38"/>
  <c r="I477" i="38"/>
  <c r="I475" i="38"/>
  <c r="I474" i="38"/>
  <c r="I473" i="38"/>
  <c r="N472" i="38"/>
  <c r="I472" i="38"/>
  <c r="I471" i="38"/>
  <c r="I470" i="38"/>
  <c r="N469" i="38"/>
  <c r="I469" i="38"/>
  <c r="I466" i="38"/>
  <c r="I465" i="38"/>
  <c r="I464" i="38"/>
  <c r="I463" i="38"/>
  <c r="I462" i="38"/>
  <c r="I461" i="38"/>
  <c r="I458" i="38"/>
  <c r="I457" i="38"/>
  <c r="I456" i="38"/>
  <c r="I454" i="38"/>
  <c r="I453" i="38"/>
  <c r="I452" i="38"/>
  <c r="N449" i="38"/>
  <c r="I449" i="38"/>
  <c r="I447" i="38"/>
  <c r="I446" i="38"/>
  <c r="I445" i="38"/>
  <c r="N444" i="38"/>
  <c r="O439" i="38"/>
  <c r="N439" i="38"/>
  <c r="I439" i="38"/>
  <c r="I437" i="38"/>
  <c r="I436" i="38"/>
  <c r="G436" i="38"/>
  <c r="G424" i="38" s="1"/>
  <c r="C96" i="39" s="1"/>
  <c r="I435" i="38"/>
  <c r="N434" i="38"/>
  <c r="I433" i="38"/>
  <c r="I429" i="38"/>
  <c r="I427" i="38"/>
  <c r="I426" i="38"/>
  <c r="N425" i="38"/>
  <c r="I425" i="38"/>
  <c r="H311" i="38"/>
  <c r="J311" i="38"/>
  <c r="D69" i="39" s="1"/>
  <c r="K311" i="38"/>
  <c r="F69" i="39" s="1"/>
  <c r="L311" i="38"/>
  <c r="M311" i="38"/>
  <c r="N311" i="38"/>
  <c r="O311" i="38"/>
  <c r="P311" i="38"/>
  <c r="Q311" i="38"/>
  <c r="G311" i="38"/>
  <c r="C69" i="39" s="1"/>
  <c r="I319" i="38"/>
  <c r="I318" i="38"/>
  <c r="I317" i="38"/>
  <c r="I315" i="38"/>
  <c r="I314" i="38"/>
  <c r="I313" i="38"/>
  <c r="I312" i="38"/>
  <c r="H195" i="38"/>
  <c r="J195" i="38"/>
  <c r="D41" i="39" s="1"/>
  <c r="K195" i="38"/>
  <c r="F41" i="39" s="1"/>
  <c r="L195" i="38"/>
  <c r="M195" i="38"/>
  <c r="N195" i="38"/>
  <c r="O195" i="38"/>
  <c r="P195" i="38"/>
  <c r="Q195" i="38"/>
  <c r="G195" i="38"/>
  <c r="C41" i="39" s="1"/>
  <c r="I206" i="38"/>
  <c r="I205" i="38"/>
  <c r="I202" i="38"/>
  <c r="I200" i="38"/>
  <c r="I199" i="38"/>
  <c r="I198" i="38"/>
  <c r="I197" i="38"/>
  <c r="I196" i="38"/>
  <c r="G17" i="38"/>
  <c r="C10" i="39" l="1"/>
  <c r="N424" i="38"/>
  <c r="I424" i="38"/>
  <c r="O424" i="38"/>
  <c r="I311" i="38"/>
  <c r="I195" i="38"/>
  <c r="K30" i="38"/>
  <c r="K29" i="38"/>
  <c r="K28" i="38"/>
  <c r="I28" i="38"/>
  <c r="K27" i="38"/>
  <c r="I27" i="38"/>
  <c r="K26" i="38"/>
  <c r="I26" i="38"/>
  <c r="K25" i="38"/>
  <c r="I25" i="38"/>
  <c r="K24" i="38"/>
  <c r="I24" i="38"/>
  <c r="K23" i="38"/>
  <c r="K22" i="38"/>
  <c r="I22" i="38"/>
  <c r="K21" i="38"/>
  <c r="I21" i="38"/>
  <c r="K20" i="38"/>
  <c r="I20" i="38"/>
  <c r="K19" i="38"/>
  <c r="I19" i="38"/>
  <c r="K18" i="38"/>
  <c r="I18" i="38"/>
  <c r="G153" i="38"/>
  <c r="H153" i="38"/>
  <c r="I153" i="38"/>
  <c r="J153" i="38"/>
  <c r="L153" i="38"/>
  <c r="M153" i="38"/>
  <c r="N153" i="38"/>
  <c r="O153" i="38"/>
  <c r="P153" i="38"/>
  <c r="Q153" i="38"/>
  <c r="K17" i="38" l="1"/>
  <c r="F10" i="39" s="1"/>
  <c r="I17" i="38"/>
  <c r="E579" i="37"/>
  <c r="F579" i="37"/>
  <c r="G579" i="37"/>
  <c r="H579" i="37"/>
  <c r="I579" i="37"/>
  <c r="J579" i="37"/>
  <c r="K579" i="37"/>
  <c r="L579" i="37"/>
  <c r="M579" i="37"/>
  <c r="N579" i="37"/>
  <c r="O579" i="37"/>
  <c r="P579" i="37"/>
  <c r="Q579" i="37"/>
  <c r="R579" i="37"/>
  <c r="S579" i="37"/>
  <c r="T579" i="37"/>
  <c r="U579" i="37"/>
  <c r="V579" i="37"/>
  <c r="W579" i="37"/>
  <c r="X579" i="37"/>
  <c r="Y579" i="37"/>
  <c r="Z579" i="37"/>
  <c r="AA579" i="37"/>
  <c r="H302" i="38"/>
  <c r="I302" i="38"/>
  <c r="J302" i="38"/>
  <c r="K302" i="38"/>
  <c r="L302" i="38"/>
  <c r="M302" i="38"/>
  <c r="N302" i="38"/>
  <c r="O302" i="38"/>
  <c r="P302" i="38"/>
  <c r="Q302" i="38"/>
  <c r="G302" i="38"/>
  <c r="L171" i="38"/>
  <c r="M171" i="38"/>
  <c r="O171" i="38"/>
  <c r="P171" i="38"/>
  <c r="Q171" i="38"/>
  <c r="E309" i="37"/>
  <c r="F309" i="37"/>
  <c r="G309" i="37"/>
  <c r="H309" i="37"/>
  <c r="I309" i="37"/>
  <c r="J309" i="37"/>
  <c r="K309" i="37"/>
  <c r="L309" i="37"/>
  <c r="M309" i="37"/>
  <c r="N309" i="37"/>
  <c r="O309" i="37"/>
  <c r="P309" i="37"/>
  <c r="Q309" i="37"/>
  <c r="R309" i="37"/>
  <c r="S309" i="37"/>
  <c r="T309" i="37"/>
  <c r="U309" i="37"/>
  <c r="V309" i="37"/>
  <c r="W309" i="37"/>
  <c r="X309" i="37"/>
  <c r="Y309" i="37"/>
  <c r="Z309" i="37"/>
  <c r="AA309" i="37"/>
  <c r="D362" i="37"/>
  <c r="C362" i="37" s="1"/>
  <c r="Q419" i="38"/>
  <c r="P419" i="38"/>
  <c r="O419" i="38"/>
  <c r="N419" i="38"/>
  <c r="M419" i="38"/>
  <c r="L419" i="38"/>
  <c r="K419" i="38"/>
  <c r="J419" i="38"/>
  <c r="I419" i="38"/>
  <c r="H419" i="38"/>
  <c r="G419" i="38"/>
  <c r="Q417" i="38"/>
  <c r="P417" i="38"/>
  <c r="O417" i="38"/>
  <c r="N417" i="38"/>
  <c r="M417" i="38"/>
  <c r="L417" i="38"/>
  <c r="K417" i="38"/>
  <c r="J417" i="38"/>
  <c r="I417" i="38"/>
  <c r="H417" i="38"/>
  <c r="G417" i="38"/>
  <c r="I415" i="38" l="1"/>
  <c r="M415" i="38"/>
  <c r="H415" i="38"/>
  <c r="L415" i="38"/>
  <c r="P415" i="38"/>
  <c r="J415" i="38"/>
  <c r="N415" i="38"/>
  <c r="Q415" i="38"/>
  <c r="G415" i="38"/>
  <c r="K415" i="38"/>
  <c r="O415" i="38"/>
  <c r="D761" i="37"/>
  <c r="E761" i="37"/>
  <c r="F761" i="37"/>
  <c r="G761" i="37"/>
  <c r="H761" i="37"/>
  <c r="I761" i="37"/>
  <c r="J761" i="37"/>
  <c r="K761" i="37"/>
  <c r="L761" i="37"/>
  <c r="M761" i="37"/>
  <c r="N761" i="37"/>
  <c r="O761" i="37"/>
  <c r="P761" i="37"/>
  <c r="Q761" i="37"/>
  <c r="R761" i="37"/>
  <c r="S761" i="37"/>
  <c r="T761" i="37"/>
  <c r="U761" i="37"/>
  <c r="V761" i="37"/>
  <c r="W761" i="37"/>
  <c r="X761" i="37"/>
  <c r="Y761" i="37"/>
  <c r="Z761" i="37"/>
  <c r="AA761" i="37"/>
  <c r="C761" i="37"/>
  <c r="H786" i="38"/>
  <c r="I786" i="38"/>
  <c r="J786" i="38"/>
  <c r="D122" i="39" s="1"/>
  <c r="K786" i="38"/>
  <c r="F122" i="39" s="1"/>
  <c r="L786" i="38"/>
  <c r="M786" i="38"/>
  <c r="N786" i="38"/>
  <c r="O786" i="38"/>
  <c r="P786" i="38"/>
  <c r="Q786" i="38"/>
  <c r="G786" i="38"/>
  <c r="C122" i="39" s="1"/>
  <c r="H134" i="38"/>
  <c r="I134" i="38"/>
  <c r="J134" i="38"/>
  <c r="D32" i="39" s="1"/>
  <c r="K134" i="38"/>
  <c r="F32" i="39" s="1"/>
  <c r="L134" i="38"/>
  <c r="M134" i="38"/>
  <c r="N134" i="38"/>
  <c r="O134" i="38"/>
  <c r="P134" i="38"/>
  <c r="Q134" i="38"/>
  <c r="G134" i="38"/>
  <c r="C32" i="39" s="1"/>
  <c r="H382" i="38" l="1"/>
  <c r="I382" i="38"/>
  <c r="J382" i="38"/>
  <c r="D85" i="39" s="1"/>
  <c r="L382" i="38"/>
  <c r="M382" i="38"/>
  <c r="N382" i="38"/>
  <c r="O382" i="38"/>
  <c r="P382" i="38"/>
  <c r="Q382" i="38"/>
  <c r="G382" i="38"/>
  <c r="C85" i="39" s="1"/>
  <c r="E769" i="37" l="1"/>
  <c r="F769" i="37"/>
  <c r="G769" i="37"/>
  <c r="H769" i="37"/>
  <c r="I769" i="37"/>
  <c r="J769" i="37"/>
  <c r="K769" i="37"/>
  <c r="L769" i="37"/>
  <c r="M769" i="37"/>
  <c r="N769" i="37"/>
  <c r="O769" i="37"/>
  <c r="P769" i="37"/>
  <c r="Q769" i="37"/>
  <c r="R769" i="37"/>
  <c r="S769" i="37"/>
  <c r="T769" i="37"/>
  <c r="U769" i="37"/>
  <c r="V769" i="37"/>
  <c r="W769" i="37"/>
  <c r="X769" i="37"/>
  <c r="Y769" i="37"/>
  <c r="C776" i="37" s="1"/>
  <c r="Z769" i="37"/>
  <c r="AA769" i="37"/>
  <c r="D770" i="37"/>
  <c r="C770" i="37" s="1"/>
  <c r="E382" i="37"/>
  <c r="F382" i="37"/>
  <c r="G382" i="37"/>
  <c r="H382" i="37"/>
  <c r="I382" i="37"/>
  <c r="J382" i="37"/>
  <c r="K382" i="37"/>
  <c r="L382" i="37"/>
  <c r="M382" i="37"/>
  <c r="N382" i="37"/>
  <c r="O382" i="37"/>
  <c r="P382" i="37"/>
  <c r="Q382" i="37"/>
  <c r="R382" i="37"/>
  <c r="S382" i="37"/>
  <c r="T382" i="37"/>
  <c r="U382" i="37"/>
  <c r="V382" i="37"/>
  <c r="W382" i="37"/>
  <c r="X382" i="37"/>
  <c r="Y382" i="37"/>
  <c r="Z382" i="37"/>
  <c r="AA382" i="37"/>
  <c r="D384" i="37"/>
  <c r="C384" i="37" s="1"/>
  <c r="D383" i="37"/>
  <c r="C383" i="37" s="1"/>
  <c r="E270" i="37"/>
  <c r="F270" i="37"/>
  <c r="G270" i="37"/>
  <c r="H270" i="37"/>
  <c r="I270" i="37"/>
  <c r="J270" i="37"/>
  <c r="K270" i="37"/>
  <c r="L270" i="37"/>
  <c r="M270" i="37"/>
  <c r="N270" i="37"/>
  <c r="O270" i="37"/>
  <c r="P270" i="37"/>
  <c r="Q270" i="37"/>
  <c r="R270" i="37"/>
  <c r="S270" i="37"/>
  <c r="T270" i="37"/>
  <c r="U270" i="37"/>
  <c r="V270" i="37"/>
  <c r="W270" i="37"/>
  <c r="X270" i="37"/>
  <c r="Y270" i="37"/>
  <c r="Z270" i="37"/>
  <c r="AA270" i="37"/>
  <c r="D272" i="37"/>
  <c r="C272" i="37" s="1"/>
  <c r="D271" i="37"/>
  <c r="C271" i="37" s="1"/>
  <c r="E155" i="37"/>
  <c r="F155" i="37"/>
  <c r="G155" i="37"/>
  <c r="H155" i="37"/>
  <c r="I155" i="37"/>
  <c r="J155" i="37"/>
  <c r="K155" i="37"/>
  <c r="L155" i="37"/>
  <c r="M155" i="37"/>
  <c r="N155" i="37"/>
  <c r="O155" i="37"/>
  <c r="P155" i="37"/>
  <c r="Q155" i="37"/>
  <c r="R155" i="37"/>
  <c r="S155" i="37"/>
  <c r="T155" i="37"/>
  <c r="U155" i="37"/>
  <c r="V155" i="37"/>
  <c r="W155" i="37"/>
  <c r="X155" i="37"/>
  <c r="Y155" i="37"/>
  <c r="Z155" i="37"/>
  <c r="AA155" i="37"/>
  <c r="D159" i="37"/>
  <c r="C159" i="37" s="1"/>
  <c r="D158" i="37"/>
  <c r="C158" i="37" s="1"/>
  <c r="D157" i="37"/>
  <c r="D156" i="37"/>
  <c r="C156" i="37" s="1"/>
  <c r="C270" i="37" l="1"/>
  <c r="C769" i="37"/>
  <c r="D769" i="37"/>
  <c r="D155" i="37"/>
  <c r="C382" i="37"/>
  <c r="C157" i="37"/>
  <c r="C155" i="37" s="1"/>
  <c r="D270" i="37"/>
  <c r="D382" i="37"/>
  <c r="H794" i="38"/>
  <c r="I794" i="38"/>
  <c r="J794" i="38"/>
  <c r="D126" i="39" s="1"/>
  <c r="K794" i="38"/>
  <c r="F126" i="39" s="1"/>
  <c r="L794" i="38"/>
  <c r="M794" i="38"/>
  <c r="N794" i="38"/>
  <c r="O794" i="38"/>
  <c r="P794" i="38"/>
  <c r="Q794" i="38"/>
  <c r="G794" i="38"/>
  <c r="C126" i="39" s="1"/>
  <c r="H406" i="38"/>
  <c r="I406" i="38"/>
  <c r="J406" i="38"/>
  <c r="D91" i="39" s="1"/>
  <c r="K406" i="38"/>
  <c r="F91" i="39" s="1"/>
  <c r="L406" i="38"/>
  <c r="M406" i="38"/>
  <c r="N406" i="38"/>
  <c r="O406" i="38"/>
  <c r="P406" i="38"/>
  <c r="Q406" i="38"/>
  <c r="G406" i="38"/>
  <c r="C91" i="39" s="1"/>
  <c r="O412" i="38"/>
  <c r="P412" i="38"/>
  <c r="Q412" i="38"/>
  <c r="H286" i="38"/>
  <c r="I286" i="38"/>
  <c r="J286" i="38"/>
  <c r="D63" i="39" s="1"/>
  <c r="K286" i="38"/>
  <c r="F63" i="39" s="1"/>
  <c r="L286" i="38"/>
  <c r="M286" i="38"/>
  <c r="N286" i="38"/>
  <c r="O286" i="38"/>
  <c r="P286" i="38"/>
  <c r="Q286" i="38"/>
  <c r="G286" i="38"/>
  <c r="C63" i="39" s="1"/>
  <c r="H148" i="38"/>
  <c r="I148" i="38"/>
  <c r="J148" i="38"/>
  <c r="D34" i="39" s="1"/>
  <c r="L148" i="38"/>
  <c r="M148" i="38"/>
  <c r="O148" i="38"/>
  <c r="P148" i="38"/>
  <c r="Q148" i="38"/>
  <c r="G148" i="38"/>
  <c r="C34" i="39" s="1"/>
  <c r="N148" i="38"/>
  <c r="K148" i="38"/>
  <c r="F34" i="39" s="1"/>
  <c r="U232" i="37" l="1"/>
  <c r="C610" i="37"/>
  <c r="C608" i="37"/>
  <c r="C607" i="37"/>
  <c r="C606" i="37"/>
  <c r="C605" i="37"/>
  <c r="C604" i="37"/>
  <c r="C603" i="37"/>
  <c r="C602" i="37"/>
  <c r="C601" i="37"/>
  <c r="C600" i="37"/>
  <c r="C599" i="37"/>
  <c r="C598" i="37"/>
  <c r="C597" i="37"/>
  <c r="C596" i="37"/>
  <c r="C593" i="37"/>
  <c r="C592" i="37"/>
  <c r="D591" i="37"/>
  <c r="E591" i="37"/>
  <c r="F591" i="37"/>
  <c r="G591" i="37"/>
  <c r="H591" i="37"/>
  <c r="I591" i="37"/>
  <c r="J591" i="37"/>
  <c r="K591" i="37"/>
  <c r="L591" i="37"/>
  <c r="M591" i="37"/>
  <c r="N591" i="37"/>
  <c r="O591" i="37"/>
  <c r="P591" i="37"/>
  <c r="Q591" i="37"/>
  <c r="R591" i="37"/>
  <c r="S591" i="37"/>
  <c r="T591" i="37"/>
  <c r="U591" i="37"/>
  <c r="V591" i="37"/>
  <c r="W591" i="37"/>
  <c r="X591" i="37"/>
  <c r="Y591" i="37"/>
  <c r="Z591" i="37"/>
  <c r="AA591" i="37"/>
  <c r="D315" i="37"/>
  <c r="E315" i="37"/>
  <c r="F315" i="37"/>
  <c r="G315" i="37"/>
  <c r="H315" i="37"/>
  <c r="I315" i="37"/>
  <c r="J315" i="37"/>
  <c r="K315" i="37"/>
  <c r="L315" i="37"/>
  <c r="M315" i="37"/>
  <c r="N315" i="37"/>
  <c r="O315" i="37"/>
  <c r="P315" i="37"/>
  <c r="Q315" i="37"/>
  <c r="R315" i="37"/>
  <c r="S315" i="37"/>
  <c r="T315" i="37"/>
  <c r="U315" i="37"/>
  <c r="V315" i="37"/>
  <c r="W315" i="37"/>
  <c r="X315" i="37"/>
  <c r="Y315" i="37"/>
  <c r="Z315" i="37"/>
  <c r="AA315" i="37"/>
  <c r="C315" i="37"/>
  <c r="D204" i="37"/>
  <c r="E204" i="37"/>
  <c r="F204" i="37"/>
  <c r="G204" i="37"/>
  <c r="H204" i="37"/>
  <c r="I204" i="37"/>
  <c r="J204" i="37"/>
  <c r="K204" i="37"/>
  <c r="L204" i="37"/>
  <c r="M204" i="37"/>
  <c r="N204" i="37"/>
  <c r="O204" i="37"/>
  <c r="P204" i="37"/>
  <c r="Q204" i="37"/>
  <c r="R204" i="37"/>
  <c r="S204" i="37"/>
  <c r="T204" i="37"/>
  <c r="U204" i="37"/>
  <c r="V204" i="37"/>
  <c r="W204" i="37"/>
  <c r="X204" i="37"/>
  <c r="Y204" i="37"/>
  <c r="Z204" i="37"/>
  <c r="AA204" i="37"/>
  <c r="C204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C54" i="37"/>
  <c r="C55" i="37"/>
  <c r="C56" i="37"/>
  <c r="C57" i="37"/>
  <c r="C58" i="37"/>
  <c r="C59" i="37"/>
  <c r="C60" i="37"/>
  <c r="C61" i="37"/>
  <c r="C53" i="37"/>
  <c r="H623" i="38"/>
  <c r="I623" i="38"/>
  <c r="J623" i="38"/>
  <c r="D104" i="39" s="1"/>
  <c r="K623" i="38"/>
  <c r="F104" i="39" s="1"/>
  <c r="L623" i="38"/>
  <c r="M623" i="38"/>
  <c r="N623" i="38"/>
  <c r="O623" i="38"/>
  <c r="P623" i="38"/>
  <c r="Q623" i="38"/>
  <c r="G623" i="38"/>
  <c r="C104" i="39" s="1"/>
  <c r="C591" i="37" l="1"/>
  <c r="C52" i="37"/>
  <c r="H339" i="38" l="1"/>
  <c r="I339" i="38"/>
  <c r="J339" i="38"/>
  <c r="D75" i="39" s="1"/>
  <c r="K339" i="38"/>
  <c r="F75" i="39" s="1"/>
  <c r="L339" i="38"/>
  <c r="M339" i="38"/>
  <c r="N339" i="38"/>
  <c r="O339" i="38"/>
  <c r="P339" i="38"/>
  <c r="Q339" i="38"/>
  <c r="G339" i="38"/>
  <c r="C75" i="39" s="1"/>
  <c r="H220" i="38"/>
  <c r="I220" i="38"/>
  <c r="J220" i="38"/>
  <c r="D47" i="39" s="1"/>
  <c r="K220" i="38"/>
  <c r="F47" i="39" s="1"/>
  <c r="L220" i="38"/>
  <c r="M220" i="38"/>
  <c r="N220" i="38"/>
  <c r="O220" i="38"/>
  <c r="P220" i="38"/>
  <c r="Q220" i="38"/>
  <c r="G220" i="38"/>
  <c r="C47" i="39" s="1"/>
  <c r="H60" i="38" l="1"/>
  <c r="I60" i="38"/>
  <c r="J60" i="38"/>
  <c r="D18" i="39" s="1"/>
  <c r="K60" i="38"/>
  <c r="F18" i="39" s="1"/>
  <c r="L60" i="38"/>
  <c r="M60" i="38"/>
  <c r="N60" i="38"/>
  <c r="O60" i="38"/>
  <c r="P60" i="38"/>
  <c r="Q60" i="38"/>
  <c r="G60" i="38"/>
  <c r="C18" i="39" s="1"/>
  <c r="V90" i="37" l="1"/>
  <c r="U90" i="37"/>
  <c r="E737" i="37"/>
  <c r="F737" i="37"/>
  <c r="G737" i="37"/>
  <c r="H737" i="37"/>
  <c r="I737" i="37"/>
  <c r="J737" i="37"/>
  <c r="K737" i="37"/>
  <c r="L737" i="37"/>
  <c r="M737" i="37"/>
  <c r="N737" i="37"/>
  <c r="O737" i="37"/>
  <c r="P737" i="37"/>
  <c r="Q737" i="37"/>
  <c r="R737" i="37"/>
  <c r="S737" i="37"/>
  <c r="T737" i="37"/>
  <c r="U737" i="37"/>
  <c r="V737" i="37"/>
  <c r="W737" i="37"/>
  <c r="X737" i="37"/>
  <c r="Y737" i="37"/>
  <c r="Z737" i="37"/>
  <c r="AA737" i="37"/>
  <c r="E355" i="37" l="1"/>
  <c r="F355" i="37"/>
  <c r="G355" i="37"/>
  <c r="H355" i="37"/>
  <c r="I355" i="37"/>
  <c r="J355" i="37"/>
  <c r="K355" i="37"/>
  <c r="L355" i="37"/>
  <c r="M355" i="37"/>
  <c r="N355" i="37"/>
  <c r="O355" i="37"/>
  <c r="P355" i="37"/>
  <c r="Q355" i="37"/>
  <c r="R355" i="37"/>
  <c r="S355" i="37"/>
  <c r="T355" i="37"/>
  <c r="U355" i="37"/>
  <c r="V355" i="37"/>
  <c r="W355" i="37"/>
  <c r="X355" i="37"/>
  <c r="Y355" i="37"/>
  <c r="Z355" i="37"/>
  <c r="AA355" i="37"/>
  <c r="D357" i="37"/>
  <c r="C357" i="37" s="1"/>
  <c r="D356" i="37"/>
  <c r="C356" i="37" s="1"/>
  <c r="H379" i="38"/>
  <c r="I379" i="38"/>
  <c r="J379" i="38"/>
  <c r="D84" i="39" s="1"/>
  <c r="K379" i="38"/>
  <c r="F84" i="39" s="1"/>
  <c r="L379" i="38"/>
  <c r="M379" i="38"/>
  <c r="N379" i="38"/>
  <c r="O379" i="38"/>
  <c r="P379" i="38"/>
  <c r="Q379" i="38"/>
  <c r="G379" i="38"/>
  <c r="C84" i="39" s="1"/>
  <c r="C355" i="37" l="1"/>
  <c r="D355" i="37"/>
  <c r="E734" i="37"/>
  <c r="F734" i="37"/>
  <c r="G734" i="37"/>
  <c r="H734" i="37"/>
  <c r="I734" i="37"/>
  <c r="J734" i="37"/>
  <c r="K734" i="37"/>
  <c r="L734" i="37"/>
  <c r="M734" i="37"/>
  <c r="N734" i="37"/>
  <c r="O734" i="37"/>
  <c r="P734" i="37"/>
  <c r="Q734" i="37"/>
  <c r="R734" i="37"/>
  <c r="S734" i="37"/>
  <c r="T734" i="37"/>
  <c r="U734" i="37"/>
  <c r="V734" i="37"/>
  <c r="W734" i="37"/>
  <c r="X734" i="37"/>
  <c r="Y734" i="37"/>
  <c r="Z734" i="37"/>
  <c r="AA734" i="37"/>
  <c r="C734" i="37"/>
  <c r="D736" i="37"/>
  <c r="D735" i="37"/>
  <c r="E365" i="37"/>
  <c r="F365" i="37"/>
  <c r="G365" i="37"/>
  <c r="H365" i="37"/>
  <c r="I365" i="37"/>
  <c r="J365" i="37"/>
  <c r="K365" i="37"/>
  <c r="L365" i="37"/>
  <c r="M365" i="37"/>
  <c r="N365" i="37"/>
  <c r="O365" i="37"/>
  <c r="P365" i="37"/>
  <c r="Q365" i="37"/>
  <c r="R365" i="37"/>
  <c r="S365" i="37"/>
  <c r="T365" i="37"/>
  <c r="U365" i="37"/>
  <c r="V365" i="37"/>
  <c r="W365" i="37"/>
  <c r="X365" i="37"/>
  <c r="Y365" i="37"/>
  <c r="Z365" i="37"/>
  <c r="AA365" i="37"/>
  <c r="D368" i="37"/>
  <c r="D367" i="37"/>
  <c r="D366" i="37"/>
  <c r="C368" i="37"/>
  <c r="C365" i="37" s="1"/>
  <c r="D253" i="37"/>
  <c r="E253" i="37"/>
  <c r="F253" i="37"/>
  <c r="G253" i="37"/>
  <c r="H253" i="37"/>
  <c r="I253" i="37"/>
  <c r="J253" i="37"/>
  <c r="K253" i="37"/>
  <c r="L253" i="37"/>
  <c r="M253" i="37"/>
  <c r="N253" i="37"/>
  <c r="O253" i="37"/>
  <c r="P253" i="37"/>
  <c r="Q253" i="37"/>
  <c r="R253" i="37"/>
  <c r="S253" i="37"/>
  <c r="T253" i="37"/>
  <c r="U253" i="37"/>
  <c r="V253" i="37"/>
  <c r="W253" i="37"/>
  <c r="X253" i="37"/>
  <c r="Y253" i="37"/>
  <c r="Z253" i="37"/>
  <c r="AA253" i="37"/>
  <c r="C253" i="37"/>
  <c r="D134" i="37"/>
  <c r="E134" i="37"/>
  <c r="F134" i="37"/>
  <c r="G134" i="37"/>
  <c r="H134" i="37"/>
  <c r="I134" i="37"/>
  <c r="J134" i="37"/>
  <c r="K134" i="37"/>
  <c r="L134" i="37"/>
  <c r="M134" i="37"/>
  <c r="N134" i="37"/>
  <c r="O134" i="37"/>
  <c r="P134" i="37"/>
  <c r="Q134" i="37"/>
  <c r="R134" i="37"/>
  <c r="S134" i="37"/>
  <c r="T134" i="37"/>
  <c r="U134" i="37"/>
  <c r="V134" i="37"/>
  <c r="W134" i="37"/>
  <c r="X134" i="37"/>
  <c r="Y134" i="37"/>
  <c r="Z134" i="37"/>
  <c r="AA134" i="37"/>
  <c r="C134" i="37"/>
  <c r="H389" i="38"/>
  <c r="I389" i="38"/>
  <c r="J389" i="38"/>
  <c r="D87" i="39" s="1"/>
  <c r="K389" i="38"/>
  <c r="F87" i="39" s="1"/>
  <c r="L389" i="38"/>
  <c r="M389" i="38"/>
  <c r="O389" i="38"/>
  <c r="P389" i="38"/>
  <c r="Q389" i="38"/>
  <c r="G389" i="38"/>
  <c r="C87" i="39" s="1"/>
  <c r="N392" i="38"/>
  <c r="N389" i="38" s="1"/>
  <c r="D365" i="37" l="1"/>
  <c r="D734" i="37"/>
  <c r="H269" i="38" l="1"/>
  <c r="I269" i="38"/>
  <c r="J269" i="38"/>
  <c r="D59" i="39" s="1"/>
  <c r="K269" i="38"/>
  <c r="F59" i="39" s="1"/>
  <c r="L269" i="38"/>
  <c r="M269" i="38"/>
  <c r="N269" i="38"/>
  <c r="O269" i="38"/>
  <c r="P269" i="38"/>
  <c r="Q269" i="38"/>
  <c r="G269" i="38"/>
  <c r="C59" i="39" s="1"/>
  <c r="H127" i="38" l="1"/>
  <c r="I127" i="38"/>
  <c r="J127" i="38"/>
  <c r="D31" i="39" s="1"/>
  <c r="K127" i="38"/>
  <c r="F31" i="39" s="1"/>
  <c r="N127" i="38"/>
  <c r="G127" i="38"/>
  <c r="C31" i="39" s="1"/>
  <c r="E86" i="37" l="1"/>
  <c r="F86" i="37"/>
  <c r="G86" i="37"/>
  <c r="H86" i="37"/>
  <c r="I86" i="37"/>
  <c r="J86" i="37"/>
  <c r="K86" i="37"/>
  <c r="L86" i="37"/>
  <c r="M86" i="37"/>
  <c r="N86" i="37"/>
  <c r="O86" i="37"/>
  <c r="P86" i="37"/>
  <c r="Q86" i="37"/>
  <c r="R86" i="37"/>
  <c r="S86" i="37"/>
  <c r="T86" i="37"/>
  <c r="U86" i="37"/>
  <c r="V86" i="37"/>
  <c r="W86" i="37"/>
  <c r="X86" i="37"/>
  <c r="Y86" i="37"/>
  <c r="Z86" i="37"/>
  <c r="AA86" i="37"/>
  <c r="D87" i="37"/>
  <c r="C87" i="37" s="1"/>
  <c r="C86" i="37" s="1"/>
  <c r="E620" i="37"/>
  <c r="F620" i="37"/>
  <c r="G620" i="37"/>
  <c r="H620" i="37"/>
  <c r="I620" i="37"/>
  <c r="J620" i="37"/>
  <c r="K620" i="37"/>
  <c r="L620" i="37"/>
  <c r="M620" i="37"/>
  <c r="N620" i="37"/>
  <c r="O620" i="37"/>
  <c r="P620" i="37"/>
  <c r="Q620" i="37"/>
  <c r="R620" i="37"/>
  <c r="S620" i="37"/>
  <c r="T620" i="37"/>
  <c r="U620" i="37"/>
  <c r="V620" i="37"/>
  <c r="W620" i="37"/>
  <c r="X620" i="37"/>
  <c r="Y620" i="37"/>
  <c r="Z620" i="37"/>
  <c r="AA620" i="37"/>
  <c r="D621" i="37"/>
  <c r="C621" i="37" s="1"/>
  <c r="C620" i="37" s="1"/>
  <c r="D325" i="37"/>
  <c r="E325" i="37"/>
  <c r="F325" i="37"/>
  <c r="G325" i="37"/>
  <c r="H325" i="37"/>
  <c r="I325" i="37"/>
  <c r="J325" i="37"/>
  <c r="K325" i="37"/>
  <c r="L325" i="37"/>
  <c r="M325" i="37"/>
  <c r="N325" i="37"/>
  <c r="O325" i="37"/>
  <c r="P325" i="37"/>
  <c r="Q325" i="37"/>
  <c r="R325" i="37"/>
  <c r="S325" i="37"/>
  <c r="T325" i="37"/>
  <c r="U325" i="37"/>
  <c r="V325" i="37"/>
  <c r="W325" i="37"/>
  <c r="X325" i="37"/>
  <c r="Y325" i="37"/>
  <c r="Z325" i="37"/>
  <c r="AA325" i="37"/>
  <c r="C326" i="37"/>
  <c r="C325" i="37" s="1"/>
  <c r="E213" i="37"/>
  <c r="F213" i="37"/>
  <c r="G213" i="37"/>
  <c r="H213" i="37"/>
  <c r="I213" i="37"/>
  <c r="J213" i="37"/>
  <c r="K213" i="37"/>
  <c r="L213" i="37"/>
  <c r="M213" i="37"/>
  <c r="N213" i="37"/>
  <c r="O213" i="37"/>
  <c r="P213" i="37"/>
  <c r="Q213" i="37"/>
  <c r="R213" i="37"/>
  <c r="S213" i="37"/>
  <c r="T213" i="37"/>
  <c r="U213" i="37"/>
  <c r="V213" i="37"/>
  <c r="W213" i="37"/>
  <c r="X213" i="37"/>
  <c r="Y213" i="37"/>
  <c r="Z213" i="37"/>
  <c r="AA213" i="37"/>
  <c r="D214" i="37"/>
  <c r="C214" i="37" s="1"/>
  <c r="C213" i="37" s="1"/>
  <c r="E64" i="37"/>
  <c r="F64" i="37"/>
  <c r="G64" i="37"/>
  <c r="H64" i="37"/>
  <c r="I64" i="37"/>
  <c r="J64" i="37"/>
  <c r="K64" i="37"/>
  <c r="L64" i="37"/>
  <c r="M64" i="37"/>
  <c r="N64" i="37"/>
  <c r="O64" i="37"/>
  <c r="P64" i="37"/>
  <c r="Q64" i="37"/>
  <c r="R64" i="37"/>
  <c r="S64" i="37"/>
  <c r="T64" i="37"/>
  <c r="U64" i="37"/>
  <c r="V64" i="37"/>
  <c r="W64" i="37"/>
  <c r="X64" i="37"/>
  <c r="Y64" i="37"/>
  <c r="Z64" i="37"/>
  <c r="AA64" i="37"/>
  <c r="D67" i="37"/>
  <c r="C67" i="37" s="1"/>
  <c r="D66" i="37"/>
  <c r="C66" i="37" s="1"/>
  <c r="D65" i="37"/>
  <c r="H652" i="38"/>
  <c r="I652" i="38"/>
  <c r="J652" i="38"/>
  <c r="D107" i="39" s="1"/>
  <c r="K652" i="38"/>
  <c r="F107" i="39" s="1"/>
  <c r="L652" i="38"/>
  <c r="M652" i="38"/>
  <c r="N652" i="38"/>
  <c r="O652" i="38"/>
  <c r="P652" i="38"/>
  <c r="Q652" i="38"/>
  <c r="G652" i="38"/>
  <c r="C107" i="39" s="1"/>
  <c r="H349" i="38"/>
  <c r="I349" i="38"/>
  <c r="J349" i="38"/>
  <c r="D78" i="39" s="1"/>
  <c r="K349" i="38"/>
  <c r="F78" i="39" s="1"/>
  <c r="L349" i="38"/>
  <c r="M349" i="38"/>
  <c r="N349" i="38"/>
  <c r="O349" i="38"/>
  <c r="P349" i="38"/>
  <c r="Q349" i="38"/>
  <c r="G349" i="38"/>
  <c r="C78" i="39" s="1"/>
  <c r="D86" i="37" l="1"/>
  <c r="D620" i="37"/>
  <c r="D64" i="37"/>
  <c r="C65" i="37"/>
  <c r="C64" i="37" s="1"/>
  <c r="D213" i="37"/>
  <c r="H229" i="38" l="1"/>
  <c r="I229" i="38"/>
  <c r="J229" i="38"/>
  <c r="D49" i="39" s="1"/>
  <c r="K229" i="38"/>
  <c r="F49" i="39" s="1"/>
  <c r="L229" i="38"/>
  <c r="M229" i="38"/>
  <c r="N229" i="38"/>
  <c r="O229" i="38"/>
  <c r="P229" i="38"/>
  <c r="Q229" i="38"/>
  <c r="G229" i="38"/>
  <c r="C49" i="39" s="1"/>
  <c r="H72" i="38"/>
  <c r="I72" i="38"/>
  <c r="J72" i="38"/>
  <c r="D20" i="39" s="1"/>
  <c r="K72" i="38"/>
  <c r="F20" i="39" s="1"/>
  <c r="L72" i="38"/>
  <c r="M72" i="38"/>
  <c r="N72" i="38"/>
  <c r="O72" i="38"/>
  <c r="P72" i="38"/>
  <c r="Q72" i="38"/>
  <c r="G72" i="38"/>
  <c r="C20" i="39" s="1"/>
  <c r="C731" i="37" l="1"/>
  <c r="H808" i="38"/>
  <c r="H807" i="38" s="1"/>
  <c r="H803" i="38" s="1"/>
  <c r="I808" i="38"/>
  <c r="I807" i="38" s="1"/>
  <c r="I803" i="38" s="1"/>
  <c r="J808" i="38"/>
  <c r="D117" i="39" s="1"/>
  <c r="K808" i="38"/>
  <c r="F117" i="39" s="1"/>
  <c r="L808" i="38"/>
  <c r="L807" i="38" s="1"/>
  <c r="L803" i="38" s="1"/>
  <c r="M808" i="38"/>
  <c r="M807" i="38" s="1"/>
  <c r="M803" i="38" s="1"/>
  <c r="N808" i="38"/>
  <c r="N807" i="38" s="1"/>
  <c r="N803" i="38" s="1"/>
  <c r="O808" i="38"/>
  <c r="O807" i="38" s="1"/>
  <c r="O803" i="38" s="1"/>
  <c r="P808" i="38"/>
  <c r="P807" i="38" s="1"/>
  <c r="P803" i="38" s="1"/>
  <c r="Q808" i="38"/>
  <c r="Q807" i="38" s="1"/>
  <c r="Q803" i="38" s="1"/>
  <c r="G808" i="38"/>
  <c r="C117" i="39" s="1"/>
  <c r="K807" i="38" l="1"/>
  <c r="K803" i="38" s="1"/>
  <c r="G807" i="38"/>
  <c r="G803" i="38" s="1"/>
  <c r="J807" i="38"/>
  <c r="J803" i="38" s="1"/>
  <c r="E631" i="37"/>
  <c r="F631" i="37"/>
  <c r="G631" i="37"/>
  <c r="H631" i="37"/>
  <c r="I631" i="37"/>
  <c r="J631" i="37"/>
  <c r="K631" i="37"/>
  <c r="L631" i="37"/>
  <c r="M631" i="37"/>
  <c r="N631" i="37"/>
  <c r="O631" i="37"/>
  <c r="P631" i="37"/>
  <c r="Q631" i="37"/>
  <c r="R631" i="37"/>
  <c r="S631" i="37"/>
  <c r="T631" i="37"/>
  <c r="U631" i="37"/>
  <c r="V631" i="37"/>
  <c r="W631" i="37"/>
  <c r="X631" i="37"/>
  <c r="Y631" i="37"/>
  <c r="Z631" i="37"/>
  <c r="AA631" i="37"/>
  <c r="D635" i="37"/>
  <c r="D634" i="37"/>
  <c r="D633" i="37"/>
  <c r="D632" i="37"/>
  <c r="D631" i="37" l="1"/>
  <c r="C635" i="37"/>
  <c r="C634" i="37"/>
  <c r="C633" i="37"/>
  <c r="C632" i="37"/>
  <c r="E330" i="37"/>
  <c r="F330" i="37"/>
  <c r="G330" i="37"/>
  <c r="H330" i="37"/>
  <c r="I330" i="37"/>
  <c r="J330" i="37"/>
  <c r="K330" i="37"/>
  <c r="L330" i="37"/>
  <c r="M330" i="37"/>
  <c r="N330" i="37"/>
  <c r="O330" i="37"/>
  <c r="P330" i="37"/>
  <c r="Q330" i="37"/>
  <c r="R330" i="37"/>
  <c r="S330" i="37"/>
  <c r="T330" i="37"/>
  <c r="U330" i="37"/>
  <c r="V330" i="37"/>
  <c r="W330" i="37"/>
  <c r="X330" i="37"/>
  <c r="Y330" i="37"/>
  <c r="Z330" i="37"/>
  <c r="AA330" i="37"/>
  <c r="C330" i="37"/>
  <c r="D331" i="37"/>
  <c r="D330" i="37" s="1"/>
  <c r="E221" i="37"/>
  <c r="F221" i="37"/>
  <c r="G221" i="37"/>
  <c r="H221" i="37"/>
  <c r="I221" i="37"/>
  <c r="J221" i="37"/>
  <c r="K221" i="37"/>
  <c r="L221" i="37"/>
  <c r="M221" i="37"/>
  <c r="N221" i="37"/>
  <c r="O221" i="37"/>
  <c r="P221" i="37"/>
  <c r="Q221" i="37"/>
  <c r="R221" i="37"/>
  <c r="S221" i="37"/>
  <c r="T221" i="37"/>
  <c r="U221" i="37"/>
  <c r="V221" i="37"/>
  <c r="W221" i="37"/>
  <c r="X221" i="37"/>
  <c r="Y221" i="37"/>
  <c r="Z221" i="37"/>
  <c r="AA221" i="37"/>
  <c r="C221" i="37"/>
  <c r="C631" i="37" l="1"/>
  <c r="D222" i="37"/>
  <c r="D221" i="37" s="1"/>
  <c r="E78" i="37"/>
  <c r="F78" i="37"/>
  <c r="G78" i="37"/>
  <c r="H78" i="37"/>
  <c r="I78" i="37"/>
  <c r="J78" i="37"/>
  <c r="K78" i="37"/>
  <c r="L78" i="37"/>
  <c r="M78" i="37"/>
  <c r="N78" i="37"/>
  <c r="O78" i="37"/>
  <c r="P78" i="37"/>
  <c r="Q78" i="37"/>
  <c r="R78" i="37"/>
  <c r="S78" i="37"/>
  <c r="T78" i="37"/>
  <c r="U78" i="37"/>
  <c r="V78" i="37"/>
  <c r="W78" i="37"/>
  <c r="X78" i="37"/>
  <c r="Y78" i="37"/>
  <c r="Z78" i="37"/>
  <c r="AA78" i="37"/>
  <c r="D81" i="37"/>
  <c r="C81" i="37" s="1"/>
  <c r="D80" i="37"/>
  <c r="C80" i="37" s="1"/>
  <c r="D79" i="37"/>
  <c r="C79" i="37" s="1"/>
  <c r="H663" i="38"/>
  <c r="I663" i="38"/>
  <c r="J663" i="38"/>
  <c r="D109" i="39" s="1"/>
  <c r="K663" i="38"/>
  <c r="F109" i="39" s="1"/>
  <c r="L663" i="38"/>
  <c r="M663" i="38"/>
  <c r="N663" i="38"/>
  <c r="O663" i="38"/>
  <c r="P663" i="38"/>
  <c r="Q663" i="38"/>
  <c r="G663" i="38"/>
  <c r="C109" i="39" s="1"/>
  <c r="H354" i="38"/>
  <c r="I354" i="38"/>
  <c r="J354" i="38"/>
  <c r="D80" i="39" s="1"/>
  <c r="K354" i="38"/>
  <c r="F80" i="39" s="1"/>
  <c r="L354" i="38"/>
  <c r="M354" i="38"/>
  <c r="N354" i="38"/>
  <c r="O354" i="38"/>
  <c r="P354" i="38"/>
  <c r="Q354" i="38"/>
  <c r="G354" i="38"/>
  <c r="C80" i="39" s="1"/>
  <c r="H237" i="38"/>
  <c r="I237" i="38"/>
  <c r="J237" i="38"/>
  <c r="D51" i="39" s="1"/>
  <c r="K237" i="38"/>
  <c r="F51" i="39" s="1"/>
  <c r="L237" i="38"/>
  <c r="M237" i="38"/>
  <c r="N237" i="38"/>
  <c r="O237" i="38"/>
  <c r="P237" i="38"/>
  <c r="Q237" i="38"/>
  <c r="G237" i="38"/>
  <c r="C51" i="39" s="1"/>
  <c r="H86" i="38"/>
  <c r="I86" i="38"/>
  <c r="J86" i="38"/>
  <c r="D22" i="39" s="1"/>
  <c r="K86" i="38"/>
  <c r="F22" i="39" s="1"/>
  <c r="L86" i="38"/>
  <c r="M86" i="38"/>
  <c r="N86" i="38"/>
  <c r="O86" i="38"/>
  <c r="P86" i="38"/>
  <c r="Q86" i="38"/>
  <c r="G86" i="38"/>
  <c r="C22" i="39" s="1"/>
  <c r="C78" i="37" l="1"/>
  <c r="D78" i="37"/>
  <c r="E548" i="37"/>
  <c r="F548" i="37"/>
  <c r="G548" i="37"/>
  <c r="H548" i="37"/>
  <c r="I548" i="37"/>
  <c r="J548" i="37"/>
  <c r="K548" i="37"/>
  <c r="L548" i="37"/>
  <c r="M548" i="37"/>
  <c r="N548" i="37"/>
  <c r="O548" i="37"/>
  <c r="P548" i="37"/>
  <c r="Q548" i="37"/>
  <c r="R548" i="37"/>
  <c r="S548" i="37"/>
  <c r="T548" i="37"/>
  <c r="U548" i="37"/>
  <c r="V548" i="37"/>
  <c r="W548" i="37"/>
  <c r="X548" i="37"/>
  <c r="Y548" i="37"/>
  <c r="Z548" i="37"/>
  <c r="AA548" i="37"/>
  <c r="D551" i="37"/>
  <c r="D550" i="37"/>
  <c r="C550" i="37" s="1"/>
  <c r="D549" i="37"/>
  <c r="C549" i="37" s="1"/>
  <c r="E26" i="37"/>
  <c r="F26" i="37"/>
  <c r="G26" i="37"/>
  <c r="H26" i="37"/>
  <c r="I26" i="37"/>
  <c r="J26" i="37"/>
  <c r="K26" i="37"/>
  <c r="L26" i="37"/>
  <c r="M26" i="37"/>
  <c r="N26" i="37"/>
  <c r="O26" i="37"/>
  <c r="P26" i="37"/>
  <c r="Q26" i="37"/>
  <c r="R26" i="37"/>
  <c r="S26" i="37"/>
  <c r="T26" i="37"/>
  <c r="U26" i="37"/>
  <c r="V26" i="37"/>
  <c r="W26" i="37"/>
  <c r="X26" i="37"/>
  <c r="Y26" i="37"/>
  <c r="Z26" i="37"/>
  <c r="AA26" i="37"/>
  <c r="D27" i="37"/>
  <c r="C27" i="37" s="1"/>
  <c r="C26" i="37" s="1"/>
  <c r="E388" i="37"/>
  <c r="F388" i="37"/>
  <c r="G388" i="37"/>
  <c r="H388" i="37"/>
  <c r="I388" i="37"/>
  <c r="J388" i="37"/>
  <c r="K388" i="37"/>
  <c r="L388" i="37"/>
  <c r="M388" i="37"/>
  <c r="N388" i="37"/>
  <c r="O388" i="37"/>
  <c r="P388" i="37"/>
  <c r="Q388" i="37"/>
  <c r="R388" i="37"/>
  <c r="S388" i="37"/>
  <c r="T388" i="37"/>
  <c r="U388" i="37"/>
  <c r="V388" i="37"/>
  <c r="W388" i="37"/>
  <c r="X388" i="37"/>
  <c r="Y388" i="37"/>
  <c r="Z388" i="37"/>
  <c r="AA388" i="37"/>
  <c r="H580" i="38"/>
  <c r="I580" i="38"/>
  <c r="J580" i="38"/>
  <c r="D99" i="39" s="1"/>
  <c r="K580" i="38"/>
  <c r="F99" i="39" s="1"/>
  <c r="L580" i="38"/>
  <c r="M580" i="38"/>
  <c r="N580" i="38"/>
  <c r="O580" i="38"/>
  <c r="P580" i="38"/>
  <c r="Q580" i="38"/>
  <c r="G580" i="38"/>
  <c r="C99" i="39" s="1"/>
  <c r="H34" i="38"/>
  <c r="I34" i="38"/>
  <c r="J34" i="38"/>
  <c r="D12" i="39" s="1"/>
  <c r="L34" i="38"/>
  <c r="M34" i="38"/>
  <c r="N34" i="38"/>
  <c r="O34" i="38"/>
  <c r="P34" i="38"/>
  <c r="Q34" i="38"/>
  <c r="G34" i="38"/>
  <c r="C12" i="39" s="1"/>
  <c r="K35" i="38"/>
  <c r="K34" i="38" s="1"/>
  <c r="F12" i="39" s="1"/>
  <c r="D738" i="37"/>
  <c r="K763" i="38"/>
  <c r="K762" i="38" s="1"/>
  <c r="F119" i="39" s="1"/>
  <c r="H762" i="38"/>
  <c r="I762" i="38"/>
  <c r="J762" i="38"/>
  <c r="D119" i="39" s="1"/>
  <c r="L762" i="38"/>
  <c r="M762" i="38"/>
  <c r="N762" i="38"/>
  <c r="O762" i="38"/>
  <c r="P762" i="38"/>
  <c r="Q762" i="38"/>
  <c r="G762" i="38"/>
  <c r="C119" i="39" s="1"/>
  <c r="C738" i="37" l="1"/>
  <c r="C737" i="37" s="1"/>
  <c r="D737" i="37"/>
  <c r="D26" i="37"/>
  <c r="C548" i="37"/>
  <c r="D548" i="37"/>
  <c r="E678" i="37"/>
  <c r="F678" i="37"/>
  <c r="G678" i="37"/>
  <c r="H678" i="37"/>
  <c r="I678" i="37"/>
  <c r="J678" i="37"/>
  <c r="K678" i="37"/>
  <c r="L678" i="37"/>
  <c r="M678" i="37"/>
  <c r="N678" i="37"/>
  <c r="O678" i="37"/>
  <c r="P678" i="37"/>
  <c r="Q678" i="37"/>
  <c r="R678" i="37"/>
  <c r="S678" i="37"/>
  <c r="T678" i="37"/>
  <c r="U678" i="37"/>
  <c r="V678" i="37"/>
  <c r="W678" i="37"/>
  <c r="X678" i="37"/>
  <c r="Y678" i="37"/>
  <c r="Z678" i="37"/>
  <c r="AA678" i="37"/>
  <c r="D696" i="37"/>
  <c r="C696" i="37" s="1"/>
  <c r="D695" i="37"/>
  <c r="C695" i="37" s="1"/>
  <c r="D694" i="37"/>
  <c r="C694" i="37" s="1"/>
  <c r="D693" i="37"/>
  <c r="C693" i="37" s="1"/>
  <c r="D692" i="37"/>
  <c r="C692" i="37" s="1"/>
  <c r="D691" i="37"/>
  <c r="C691" i="37" s="1"/>
  <c r="D690" i="37"/>
  <c r="C690" i="37" s="1"/>
  <c r="D689" i="37"/>
  <c r="C689" i="37" s="1"/>
  <c r="D688" i="37"/>
  <c r="C688" i="37" s="1"/>
  <c r="D687" i="37"/>
  <c r="C687" i="37" s="1"/>
  <c r="D686" i="37"/>
  <c r="C686" i="37" s="1"/>
  <c r="D685" i="37"/>
  <c r="C685" i="37" s="1"/>
  <c r="D684" i="37"/>
  <c r="C684" i="37" s="1"/>
  <c r="D683" i="37"/>
  <c r="C683" i="37" s="1"/>
  <c r="D682" i="37"/>
  <c r="C682" i="37" s="1"/>
  <c r="D681" i="37"/>
  <c r="C681" i="37" s="1"/>
  <c r="D680" i="37"/>
  <c r="C680" i="37" s="1"/>
  <c r="D679" i="37"/>
  <c r="C679" i="37" s="1"/>
  <c r="Q336" i="37"/>
  <c r="R336" i="37"/>
  <c r="S336" i="37"/>
  <c r="T336" i="37"/>
  <c r="U336" i="37"/>
  <c r="V336" i="37"/>
  <c r="W336" i="37"/>
  <c r="X336" i="37"/>
  <c r="Y336" i="37"/>
  <c r="Z336" i="37"/>
  <c r="AA336" i="37"/>
  <c r="E336" i="37"/>
  <c r="F336" i="37"/>
  <c r="G336" i="37"/>
  <c r="H336" i="37"/>
  <c r="I336" i="37"/>
  <c r="J336" i="37"/>
  <c r="K336" i="37"/>
  <c r="L336" i="37"/>
  <c r="M336" i="37"/>
  <c r="N336" i="37"/>
  <c r="O336" i="37"/>
  <c r="P336" i="37"/>
  <c r="D352" i="37"/>
  <c r="C352" i="37" s="1"/>
  <c r="D351" i="37"/>
  <c r="C351" i="37" s="1"/>
  <c r="D350" i="37"/>
  <c r="C350" i="37" s="1"/>
  <c r="D349" i="37"/>
  <c r="C349" i="37" s="1"/>
  <c r="D348" i="37"/>
  <c r="C348" i="37" s="1"/>
  <c r="D347" i="37"/>
  <c r="C347" i="37" s="1"/>
  <c r="D346" i="37"/>
  <c r="C346" i="37" s="1"/>
  <c r="D345" i="37"/>
  <c r="C345" i="37" s="1"/>
  <c r="D344" i="37"/>
  <c r="C344" i="37" s="1"/>
  <c r="D343" i="37"/>
  <c r="C343" i="37" s="1"/>
  <c r="D342" i="37"/>
  <c r="C342" i="37" s="1"/>
  <c r="D341" i="37"/>
  <c r="C341" i="37" s="1"/>
  <c r="D340" i="37"/>
  <c r="C340" i="37" s="1"/>
  <c r="D339" i="37"/>
  <c r="C339" i="37" s="1"/>
  <c r="D338" i="37"/>
  <c r="C338" i="37" s="1"/>
  <c r="D337" i="37"/>
  <c r="C337" i="37" s="1"/>
  <c r="E232" i="37"/>
  <c r="F232" i="37"/>
  <c r="G232" i="37"/>
  <c r="H232" i="37"/>
  <c r="I232" i="37"/>
  <c r="J232" i="37"/>
  <c r="K232" i="37"/>
  <c r="L232" i="37"/>
  <c r="M232" i="37"/>
  <c r="N232" i="37"/>
  <c r="O232" i="37"/>
  <c r="P232" i="37"/>
  <c r="Q232" i="37"/>
  <c r="R232" i="37"/>
  <c r="S232" i="37"/>
  <c r="T232" i="37"/>
  <c r="V232" i="37"/>
  <c r="W232" i="37"/>
  <c r="X232" i="37"/>
  <c r="Y232" i="37"/>
  <c r="Z232" i="37"/>
  <c r="AA232" i="37"/>
  <c r="D244" i="37"/>
  <c r="C244" i="37"/>
  <c r="D243" i="37"/>
  <c r="C243" i="37" s="1"/>
  <c r="D242" i="37"/>
  <c r="C242" i="37" s="1"/>
  <c r="D241" i="37"/>
  <c r="C241" i="37" s="1"/>
  <c r="C240" i="37"/>
  <c r="D239" i="37"/>
  <c r="D238" i="37"/>
  <c r="C238" i="37" s="1"/>
  <c r="D237" i="37"/>
  <c r="C237" i="37" s="1"/>
  <c r="D236" i="37"/>
  <c r="C236" i="37" s="1"/>
  <c r="D235" i="37"/>
  <c r="C235" i="37" s="1"/>
  <c r="D233" i="37"/>
  <c r="C233" i="37" s="1"/>
  <c r="E90" i="37"/>
  <c r="F90" i="37"/>
  <c r="G90" i="37"/>
  <c r="H90" i="37"/>
  <c r="I90" i="37"/>
  <c r="J90" i="37"/>
  <c r="K90" i="37"/>
  <c r="L90" i="37"/>
  <c r="M90" i="37"/>
  <c r="N90" i="37"/>
  <c r="O90" i="37"/>
  <c r="P90" i="37"/>
  <c r="Q90" i="37"/>
  <c r="R90" i="37"/>
  <c r="S90" i="37"/>
  <c r="T90" i="37"/>
  <c r="W90" i="37"/>
  <c r="X90" i="37"/>
  <c r="Y90" i="37"/>
  <c r="Z90" i="37"/>
  <c r="AA90" i="37"/>
  <c r="C678" i="37" l="1"/>
  <c r="C336" i="37"/>
  <c r="D678" i="37"/>
  <c r="D336" i="37"/>
  <c r="C232" i="37"/>
  <c r="D232" i="37"/>
  <c r="D90" i="37"/>
  <c r="D109" i="37"/>
  <c r="C109" i="37" s="1"/>
  <c r="D108" i="37"/>
  <c r="C108" i="37"/>
  <c r="D107" i="37"/>
  <c r="C107" i="37"/>
  <c r="D106" i="37"/>
  <c r="C106" i="37" s="1"/>
  <c r="D105" i="37"/>
  <c r="C105" i="37" s="1"/>
  <c r="D104" i="37"/>
  <c r="C104" i="37" s="1"/>
  <c r="D103" i="37"/>
  <c r="C103" i="37" s="1"/>
  <c r="D102" i="37"/>
  <c r="C102" i="37" s="1"/>
  <c r="D101" i="37"/>
  <c r="C101" i="37" s="1"/>
  <c r="D100" i="37"/>
  <c r="C100" i="37" s="1"/>
  <c r="D99" i="37"/>
  <c r="C99" i="37" s="1"/>
  <c r="D98" i="37"/>
  <c r="C98" i="37" s="1"/>
  <c r="D97" i="37"/>
  <c r="C97" i="37" s="1"/>
  <c r="D96" i="37"/>
  <c r="C96" i="37" s="1"/>
  <c r="D95" i="37"/>
  <c r="C95" i="37" s="1"/>
  <c r="D94" i="37"/>
  <c r="C94" i="37" s="1"/>
  <c r="D93" i="37"/>
  <c r="C93" i="37" s="1"/>
  <c r="D92" i="37"/>
  <c r="C92" i="37" s="1"/>
  <c r="D91" i="37"/>
  <c r="C91" i="37" s="1"/>
  <c r="H703" i="38"/>
  <c r="I703" i="38"/>
  <c r="J703" i="38"/>
  <c r="D112" i="39" s="1"/>
  <c r="K703" i="38"/>
  <c r="F112" i="39" s="1"/>
  <c r="L703" i="38"/>
  <c r="M703" i="38"/>
  <c r="O703" i="38"/>
  <c r="P703" i="38"/>
  <c r="Q703" i="38"/>
  <c r="G703" i="38"/>
  <c r="C112" i="39" s="1"/>
  <c r="N721" i="38"/>
  <c r="N703" i="38" s="1"/>
  <c r="H360" i="38"/>
  <c r="I360" i="38"/>
  <c r="J360" i="38"/>
  <c r="D82" i="39" s="1"/>
  <c r="K360" i="38"/>
  <c r="F82" i="39" s="1"/>
  <c r="L360" i="38"/>
  <c r="M360" i="38"/>
  <c r="N360" i="38"/>
  <c r="O360" i="38"/>
  <c r="P360" i="38"/>
  <c r="Q360" i="38"/>
  <c r="G360" i="38"/>
  <c r="C82" i="39" s="1"/>
  <c r="H246" i="38"/>
  <c r="I246" i="38"/>
  <c r="J246" i="38"/>
  <c r="D54" i="39" s="1"/>
  <c r="K246" i="38"/>
  <c r="F54" i="39" s="1"/>
  <c r="L246" i="38"/>
  <c r="M246" i="38"/>
  <c r="N246" i="38"/>
  <c r="O246" i="38"/>
  <c r="P246" i="38"/>
  <c r="Q246" i="38"/>
  <c r="G246" i="38"/>
  <c r="C54" i="39" s="1"/>
  <c r="H98" i="38"/>
  <c r="I98" i="38"/>
  <c r="J98" i="38"/>
  <c r="D26" i="39" s="1"/>
  <c r="K98" i="38"/>
  <c r="F26" i="39" s="1"/>
  <c r="L98" i="38"/>
  <c r="M98" i="38"/>
  <c r="N98" i="38"/>
  <c r="O98" i="38"/>
  <c r="P98" i="38"/>
  <c r="Q98" i="38"/>
  <c r="G98" i="38"/>
  <c r="C26" i="39" s="1"/>
  <c r="E563" i="37"/>
  <c r="F563" i="37"/>
  <c r="G563" i="37"/>
  <c r="H563" i="37"/>
  <c r="I563" i="37"/>
  <c r="J563" i="37"/>
  <c r="K563" i="37"/>
  <c r="L563" i="37"/>
  <c r="M563" i="37"/>
  <c r="N563" i="37"/>
  <c r="O563" i="37"/>
  <c r="P563" i="37"/>
  <c r="Q563" i="37"/>
  <c r="R563" i="37"/>
  <c r="S563" i="37"/>
  <c r="T563" i="37"/>
  <c r="U563" i="37"/>
  <c r="V563" i="37"/>
  <c r="W563" i="37"/>
  <c r="X563" i="37"/>
  <c r="Y563" i="37"/>
  <c r="Z563" i="37"/>
  <c r="AA563" i="37"/>
  <c r="D578" i="37"/>
  <c r="C578" i="37" s="1"/>
  <c r="D577" i="37"/>
  <c r="C577" i="37" s="1"/>
  <c r="D576" i="37"/>
  <c r="C576" i="37" s="1"/>
  <c r="D575" i="37"/>
  <c r="C575" i="37" s="1"/>
  <c r="D574" i="37"/>
  <c r="C574" i="37" s="1"/>
  <c r="D573" i="37"/>
  <c r="C573" i="37" s="1"/>
  <c r="D572" i="37"/>
  <c r="C572" i="37" s="1"/>
  <c r="D571" i="37"/>
  <c r="C571" i="37" s="1"/>
  <c r="D570" i="37"/>
  <c r="C570" i="37" s="1"/>
  <c r="D569" i="37"/>
  <c r="C569" i="37" s="1"/>
  <c r="D568" i="37"/>
  <c r="C568" i="37" s="1"/>
  <c r="D567" i="37"/>
  <c r="C567" i="37" s="1"/>
  <c r="D566" i="37"/>
  <c r="C566" i="37" s="1"/>
  <c r="D565" i="37"/>
  <c r="C565" i="37" s="1"/>
  <c r="D564" i="37"/>
  <c r="C564" i="37" s="1"/>
  <c r="E40" i="37"/>
  <c r="F40" i="37"/>
  <c r="G40" i="37"/>
  <c r="H40" i="37"/>
  <c r="I40" i="37"/>
  <c r="J40" i="37"/>
  <c r="K40" i="37"/>
  <c r="L40" i="37"/>
  <c r="M40" i="37"/>
  <c r="N40" i="37"/>
  <c r="O40" i="37"/>
  <c r="P40" i="37"/>
  <c r="Q40" i="37"/>
  <c r="R40" i="37"/>
  <c r="S40" i="37"/>
  <c r="T40" i="37"/>
  <c r="U40" i="37"/>
  <c r="V40" i="37"/>
  <c r="W40" i="37"/>
  <c r="X40" i="37"/>
  <c r="Y40" i="37"/>
  <c r="Z40" i="37"/>
  <c r="AA40" i="37"/>
  <c r="D42" i="37"/>
  <c r="C42" i="37" s="1"/>
  <c r="D41" i="37"/>
  <c r="C41" i="37" s="1"/>
  <c r="H595" i="38"/>
  <c r="I595" i="38"/>
  <c r="J595" i="38"/>
  <c r="D102" i="39" s="1"/>
  <c r="L595" i="38"/>
  <c r="M595" i="38"/>
  <c r="N595" i="38"/>
  <c r="O595" i="38"/>
  <c r="P595" i="38"/>
  <c r="Q595" i="38"/>
  <c r="G595" i="38"/>
  <c r="C102" i="39" s="1"/>
  <c r="K597" i="38"/>
  <c r="K598" i="38"/>
  <c r="K599" i="38"/>
  <c r="K600" i="38"/>
  <c r="K601" i="38"/>
  <c r="K602" i="38"/>
  <c r="K603" i="38"/>
  <c r="K604" i="38"/>
  <c r="K605" i="38"/>
  <c r="K606" i="38"/>
  <c r="K607" i="38"/>
  <c r="K608" i="38"/>
  <c r="K609" i="38"/>
  <c r="K610" i="38"/>
  <c r="K596" i="38"/>
  <c r="H48" i="38"/>
  <c r="I48" i="38"/>
  <c r="J48" i="38"/>
  <c r="D15" i="39" s="1"/>
  <c r="K48" i="38"/>
  <c r="F15" i="39" s="1"/>
  <c r="L48" i="38"/>
  <c r="M48" i="38"/>
  <c r="N48" i="38"/>
  <c r="O48" i="38"/>
  <c r="P48" i="38"/>
  <c r="Q48" i="38"/>
  <c r="G48" i="38"/>
  <c r="C15" i="39" s="1"/>
  <c r="C40" i="37" l="1"/>
  <c r="C563" i="37"/>
  <c r="C90" i="37"/>
  <c r="D40" i="37"/>
  <c r="D563" i="37"/>
  <c r="K595" i="38"/>
  <c r="F102" i="39" s="1"/>
  <c r="E552" i="37"/>
  <c r="F552" i="37"/>
  <c r="G552" i="37"/>
  <c r="H552" i="37"/>
  <c r="I552" i="37"/>
  <c r="J552" i="37"/>
  <c r="K552" i="37"/>
  <c r="L552" i="37"/>
  <c r="M552" i="37"/>
  <c r="N552" i="37"/>
  <c r="O552" i="37"/>
  <c r="P552" i="37"/>
  <c r="Q552" i="37"/>
  <c r="R552" i="37"/>
  <c r="S552" i="37"/>
  <c r="T552" i="37"/>
  <c r="U552" i="37"/>
  <c r="V552" i="37"/>
  <c r="W552" i="37"/>
  <c r="X552" i="37"/>
  <c r="Y552" i="37"/>
  <c r="Z552" i="37"/>
  <c r="AA552" i="37"/>
  <c r="D555" i="37"/>
  <c r="C555" i="37" s="1"/>
  <c r="D554" i="37"/>
  <c r="C554" i="37" s="1"/>
  <c r="D553" i="37"/>
  <c r="C553" i="37" s="1"/>
  <c r="E303" i="37"/>
  <c r="F303" i="37"/>
  <c r="G303" i="37"/>
  <c r="H303" i="37"/>
  <c r="I303" i="37"/>
  <c r="J303" i="37"/>
  <c r="K303" i="37"/>
  <c r="L303" i="37"/>
  <c r="M303" i="37"/>
  <c r="N303" i="37"/>
  <c r="O303" i="37"/>
  <c r="P303" i="37"/>
  <c r="Q303" i="37"/>
  <c r="R303" i="37"/>
  <c r="S303" i="37"/>
  <c r="T303" i="37"/>
  <c r="U303" i="37"/>
  <c r="V303" i="37"/>
  <c r="W303" i="37"/>
  <c r="X303" i="37"/>
  <c r="Y303" i="37"/>
  <c r="Z303" i="37"/>
  <c r="AA303" i="37"/>
  <c r="D304" i="37"/>
  <c r="C304" i="37" s="1"/>
  <c r="C303" i="37" s="1"/>
  <c r="E193" i="37"/>
  <c r="F193" i="37"/>
  <c r="G193" i="37"/>
  <c r="H193" i="37"/>
  <c r="I193" i="37"/>
  <c r="J193" i="37"/>
  <c r="K193" i="37"/>
  <c r="L193" i="37"/>
  <c r="M193" i="37"/>
  <c r="N193" i="37"/>
  <c r="O193" i="37"/>
  <c r="P193" i="37"/>
  <c r="Q193" i="37"/>
  <c r="R193" i="37"/>
  <c r="S193" i="37"/>
  <c r="T193" i="37"/>
  <c r="U193" i="37"/>
  <c r="V193" i="37"/>
  <c r="W193" i="37"/>
  <c r="X193" i="37"/>
  <c r="Y193" i="37"/>
  <c r="Z193" i="37"/>
  <c r="AA193" i="37"/>
  <c r="D194" i="37"/>
  <c r="C194" i="37" s="1"/>
  <c r="C193" i="37" s="1"/>
  <c r="E28" i="37"/>
  <c r="F28" i="37"/>
  <c r="G28" i="37"/>
  <c r="H28" i="37"/>
  <c r="I28" i="37"/>
  <c r="J28" i="37"/>
  <c r="K28" i="37"/>
  <c r="L28" i="37"/>
  <c r="M28" i="37"/>
  <c r="N28" i="37"/>
  <c r="O28" i="37"/>
  <c r="P28" i="37"/>
  <c r="Q28" i="37"/>
  <c r="R28" i="37"/>
  <c r="S28" i="37"/>
  <c r="T28" i="37"/>
  <c r="U28" i="37"/>
  <c r="V28" i="37"/>
  <c r="W28" i="37"/>
  <c r="X28" i="37"/>
  <c r="Y28" i="37"/>
  <c r="Z28" i="37"/>
  <c r="AA28" i="37"/>
  <c r="D30" i="37"/>
  <c r="C30" i="37" s="1"/>
  <c r="D29" i="37"/>
  <c r="C29" i="37" s="1"/>
  <c r="H584" i="38"/>
  <c r="I584" i="38"/>
  <c r="J584" i="38"/>
  <c r="D100" i="39" s="1"/>
  <c r="K584" i="38"/>
  <c r="F100" i="39" s="1"/>
  <c r="L584" i="38"/>
  <c r="M584" i="38"/>
  <c r="N584" i="38"/>
  <c r="O584" i="38"/>
  <c r="P584" i="38"/>
  <c r="Q584" i="38"/>
  <c r="G584" i="38"/>
  <c r="C100" i="39" s="1"/>
  <c r="C28" i="37" l="1"/>
  <c r="D193" i="37"/>
  <c r="D28" i="37"/>
  <c r="D303" i="37"/>
  <c r="C552" i="37"/>
  <c r="D552" i="37"/>
  <c r="H327" i="38" l="1"/>
  <c r="I327" i="38"/>
  <c r="J327" i="38"/>
  <c r="D72" i="39" s="1"/>
  <c r="K327" i="38"/>
  <c r="F72" i="39" s="1"/>
  <c r="L327" i="38"/>
  <c r="M327" i="38"/>
  <c r="N327" i="38"/>
  <c r="O327" i="38"/>
  <c r="P327" i="38"/>
  <c r="Q327" i="38"/>
  <c r="G327" i="38"/>
  <c r="C72" i="39" s="1"/>
  <c r="H209" i="38"/>
  <c r="I209" i="38"/>
  <c r="J209" i="38"/>
  <c r="D43" i="39" s="1"/>
  <c r="L209" i="38"/>
  <c r="M209" i="38"/>
  <c r="N209" i="38"/>
  <c r="O209" i="38"/>
  <c r="P209" i="38"/>
  <c r="Q209" i="38"/>
  <c r="G209" i="38"/>
  <c r="C43" i="39" s="1"/>
  <c r="K209" i="38"/>
  <c r="F43" i="39" s="1"/>
  <c r="H36" i="38"/>
  <c r="I36" i="38"/>
  <c r="J36" i="38"/>
  <c r="D13" i="39" s="1"/>
  <c r="K36" i="38"/>
  <c r="F13" i="39" s="1"/>
  <c r="L36" i="38"/>
  <c r="M36" i="38"/>
  <c r="N36" i="38"/>
  <c r="O36" i="38"/>
  <c r="P36" i="38"/>
  <c r="Q36" i="38"/>
  <c r="G36" i="38"/>
  <c r="C13" i="39" s="1"/>
  <c r="D590" i="37" l="1"/>
  <c r="C590" i="37" s="1"/>
  <c r="D589" i="37"/>
  <c r="C589" i="37" s="1"/>
  <c r="D588" i="37"/>
  <c r="C588" i="37" s="1"/>
  <c r="D587" i="37"/>
  <c r="C587" i="37" s="1"/>
  <c r="D586" i="37"/>
  <c r="C586" i="37" s="1"/>
  <c r="D585" i="37"/>
  <c r="C585" i="37" s="1"/>
  <c r="D584" i="37"/>
  <c r="C584" i="37" s="1"/>
  <c r="D583" i="37"/>
  <c r="C583" i="37" s="1"/>
  <c r="D582" i="37"/>
  <c r="C582" i="37" s="1"/>
  <c r="D581" i="37"/>
  <c r="C581" i="37" s="1"/>
  <c r="D580" i="37"/>
  <c r="D314" i="37"/>
  <c r="C314" i="37" s="1"/>
  <c r="D312" i="37"/>
  <c r="C312" i="37" s="1"/>
  <c r="D311" i="37"/>
  <c r="C311" i="37" s="1"/>
  <c r="D310" i="37"/>
  <c r="E200" i="37"/>
  <c r="F200" i="37"/>
  <c r="G200" i="37"/>
  <c r="H200" i="37"/>
  <c r="I200" i="37"/>
  <c r="J200" i="37"/>
  <c r="K200" i="37"/>
  <c r="L200" i="37"/>
  <c r="M200" i="37"/>
  <c r="N200" i="37"/>
  <c r="O200" i="37"/>
  <c r="P200" i="37"/>
  <c r="Q200" i="37"/>
  <c r="R200" i="37"/>
  <c r="S200" i="37"/>
  <c r="T200" i="37"/>
  <c r="U200" i="37"/>
  <c r="V200" i="37"/>
  <c r="W200" i="37"/>
  <c r="X200" i="37"/>
  <c r="Y200" i="37"/>
  <c r="Z200" i="37"/>
  <c r="AA200" i="37"/>
  <c r="D201" i="37"/>
  <c r="C201" i="37" s="1"/>
  <c r="C200" i="37" s="1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D49" i="37"/>
  <c r="C49" i="37" s="1"/>
  <c r="D48" i="37"/>
  <c r="C48" i="37" s="1"/>
  <c r="D47" i="37"/>
  <c r="C47" i="37" s="1"/>
  <c r="D46" i="37"/>
  <c r="C46" i="37" s="1"/>
  <c r="D45" i="37"/>
  <c r="C45" i="37" s="1"/>
  <c r="D44" i="37"/>
  <c r="C44" i="37" s="1"/>
  <c r="K613" i="38"/>
  <c r="K614" i="38"/>
  <c r="K615" i="38"/>
  <c r="K616" i="38"/>
  <c r="K617" i="38"/>
  <c r="K618" i="38"/>
  <c r="K619" i="38"/>
  <c r="K620" i="38"/>
  <c r="K621" i="38"/>
  <c r="K622" i="38"/>
  <c r="K612" i="38"/>
  <c r="H611" i="38"/>
  <c r="I611" i="38"/>
  <c r="J611" i="38"/>
  <c r="D103" i="39" s="1"/>
  <c r="L611" i="38"/>
  <c r="M611" i="38"/>
  <c r="N611" i="38"/>
  <c r="O611" i="38"/>
  <c r="P611" i="38"/>
  <c r="Q611" i="38"/>
  <c r="G611" i="38"/>
  <c r="C103" i="39" s="1"/>
  <c r="K335" i="38"/>
  <c r="K336" i="38"/>
  <c r="K337" i="38"/>
  <c r="K338" i="38"/>
  <c r="K334" i="38"/>
  <c r="H333" i="38"/>
  <c r="I333" i="38"/>
  <c r="J333" i="38"/>
  <c r="D74" i="39" s="1"/>
  <c r="L333" i="38"/>
  <c r="M333" i="38"/>
  <c r="N333" i="38"/>
  <c r="G333" i="38"/>
  <c r="C74" i="39" s="1"/>
  <c r="H216" i="38"/>
  <c r="I216" i="38"/>
  <c r="J216" i="38"/>
  <c r="D45" i="39" s="1"/>
  <c r="L216" i="38"/>
  <c r="M216" i="38"/>
  <c r="N216" i="38"/>
  <c r="O216" i="38"/>
  <c r="P216" i="38"/>
  <c r="Q216" i="38"/>
  <c r="G216" i="38"/>
  <c r="C45" i="39" s="1"/>
  <c r="K217" i="38"/>
  <c r="K216" i="38" s="1"/>
  <c r="F45" i="39" s="1"/>
  <c r="K53" i="38"/>
  <c r="K54" i="38"/>
  <c r="K55" i="38"/>
  <c r="K56" i="38"/>
  <c r="K57" i="38"/>
  <c r="K52" i="38"/>
  <c r="H51" i="38"/>
  <c r="I51" i="38"/>
  <c r="J51" i="38"/>
  <c r="D16" i="39" s="1"/>
  <c r="L51" i="38"/>
  <c r="M51" i="38"/>
  <c r="N51" i="38"/>
  <c r="O51" i="38"/>
  <c r="P51" i="38"/>
  <c r="Q51" i="38"/>
  <c r="G51" i="38"/>
  <c r="C16" i="39" s="1"/>
  <c r="C580" i="37" l="1"/>
  <c r="C579" i="37" s="1"/>
  <c r="D579" i="37"/>
  <c r="K333" i="38"/>
  <c r="F74" i="39" s="1"/>
  <c r="C310" i="37"/>
  <c r="C309" i="37" s="1"/>
  <c r="D309" i="37"/>
  <c r="C43" i="37"/>
  <c r="D43" i="37"/>
  <c r="K611" i="38"/>
  <c r="F103" i="39" s="1"/>
  <c r="D200" i="37"/>
  <c r="K51" i="38"/>
  <c r="F16" i="39" s="1"/>
  <c r="E727" i="37" l="1"/>
  <c r="F727" i="37"/>
  <c r="G727" i="37"/>
  <c r="H727" i="37"/>
  <c r="I727" i="37"/>
  <c r="J727" i="37"/>
  <c r="K727" i="37"/>
  <c r="L727" i="37"/>
  <c r="M727" i="37"/>
  <c r="N727" i="37"/>
  <c r="O727" i="37"/>
  <c r="P727" i="37"/>
  <c r="Q727" i="37"/>
  <c r="R727" i="37"/>
  <c r="S727" i="37"/>
  <c r="T727" i="37"/>
  <c r="U727" i="37"/>
  <c r="V727" i="37"/>
  <c r="W727" i="37"/>
  <c r="X727" i="37"/>
  <c r="Y727" i="37"/>
  <c r="Z727" i="37"/>
  <c r="AA727" i="37"/>
  <c r="D729" i="37"/>
  <c r="C729" i="37" s="1"/>
  <c r="D730" i="37"/>
  <c r="C730" i="37" s="1"/>
  <c r="D732" i="37"/>
  <c r="C732" i="37" s="1"/>
  <c r="D733" i="37"/>
  <c r="C733" i="37" s="1"/>
  <c r="D728" i="37"/>
  <c r="C728" i="37" s="1"/>
  <c r="E119" i="37"/>
  <c r="F119" i="37"/>
  <c r="G119" i="37"/>
  <c r="H119" i="37"/>
  <c r="I119" i="37"/>
  <c r="J119" i="37"/>
  <c r="K119" i="37"/>
  <c r="L119" i="37"/>
  <c r="M119" i="37"/>
  <c r="N119" i="37"/>
  <c r="O119" i="37"/>
  <c r="P119" i="37"/>
  <c r="Q119" i="37"/>
  <c r="R119" i="37"/>
  <c r="S119" i="37"/>
  <c r="T119" i="37"/>
  <c r="U119" i="37"/>
  <c r="V119" i="37"/>
  <c r="W119" i="37"/>
  <c r="X119" i="37"/>
  <c r="Y119" i="37"/>
  <c r="Z119" i="37"/>
  <c r="AA119" i="37"/>
  <c r="C121" i="37"/>
  <c r="C122" i="37"/>
  <c r="D123" i="37"/>
  <c r="C123" i="37" s="1"/>
  <c r="D124" i="37"/>
  <c r="C124" i="37" s="1"/>
  <c r="C125" i="37"/>
  <c r="D126" i="37"/>
  <c r="C126" i="37" s="1"/>
  <c r="C127" i="37"/>
  <c r="C129" i="37"/>
  <c r="D130" i="37"/>
  <c r="C130" i="37" s="1"/>
  <c r="C131" i="37"/>
  <c r="D133" i="37"/>
  <c r="C133" i="37" s="1"/>
  <c r="C128" i="37"/>
  <c r="C132" i="37"/>
  <c r="D120" i="37"/>
  <c r="C120" i="37" s="1"/>
  <c r="Q176" i="38"/>
  <c r="P176" i="38"/>
  <c r="O176" i="38"/>
  <c r="M176" i="38"/>
  <c r="L176" i="38"/>
  <c r="H176" i="38"/>
  <c r="H175" i="38" s="1"/>
  <c r="H171" i="38" s="1"/>
  <c r="I176" i="38"/>
  <c r="I175" i="38" s="1"/>
  <c r="I171" i="38" s="1"/>
  <c r="J176" i="38"/>
  <c r="K176" i="38"/>
  <c r="N176" i="38"/>
  <c r="N175" i="38" s="1"/>
  <c r="N171" i="38" s="1"/>
  <c r="G176" i="38"/>
  <c r="K175" i="38" l="1"/>
  <c r="K171" i="38" s="1"/>
  <c r="F30" i="39"/>
  <c r="J175" i="38"/>
  <c r="J171" i="38" s="1"/>
  <c r="D30" i="39"/>
  <c r="G175" i="38"/>
  <c r="G171" i="38" s="1"/>
  <c r="C30" i="39"/>
  <c r="C727" i="37"/>
  <c r="D727" i="37"/>
  <c r="C119" i="37"/>
  <c r="D119" i="37"/>
  <c r="D389" i="37" l="1"/>
  <c r="E175" i="37"/>
  <c r="F175" i="37"/>
  <c r="G175" i="37"/>
  <c r="H175" i="37"/>
  <c r="I175" i="37"/>
  <c r="J175" i="37"/>
  <c r="K175" i="37"/>
  <c r="L175" i="37"/>
  <c r="M175" i="37"/>
  <c r="N175" i="37"/>
  <c r="O175" i="37"/>
  <c r="P175" i="37"/>
  <c r="Q175" i="37"/>
  <c r="R175" i="37"/>
  <c r="S175" i="37"/>
  <c r="T175" i="37"/>
  <c r="U175" i="37"/>
  <c r="V175" i="37"/>
  <c r="W175" i="37"/>
  <c r="X175" i="37"/>
  <c r="Y175" i="37"/>
  <c r="Z175" i="37"/>
  <c r="AA175" i="37"/>
  <c r="D176" i="37"/>
  <c r="C176" i="37" s="1"/>
  <c r="C175" i="37" s="1"/>
  <c r="H412" i="38"/>
  <c r="I412" i="38"/>
  <c r="J412" i="38"/>
  <c r="D93" i="39" s="1"/>
  <c r="L412" i="38"/>
  <c r="M412" i="38"/>
  <c r="N412" i="38"/>
  <c r="G412" i="38"/>
  <c r="C93" i="39" s="1"/>
  <c r="K413" i="38"/>
  <c r="K412" i="38" s="1"/>
  <c r="F93" i="39" s="1"/>
  <c r="K405" i="38"/>
  <c r="K394" i="38"/>
  <c r="H168" i="38"/>
  <c r="I168" i="38"/>
  <c r="J168" i="38"/>
  <c r="D38" i="39" s="1"/>
  <c r="L168" i="38"/>
  <c r="M168" i="38"/>
  <c r="N168" i="38"/>
  <c r="O168" i="38"/>
  <c r="P168" i="38"/>
  <c r="Q168" i="38"/>
  <c r="G168" i="38"/>
  <c r="C38" i="39" s="1"/>
  <c r="K169" i="38"/>
  <c r="K168" i="38" s="1"/>
  <c r="F38" i="39" s="1"/>
  <c r="E363" i="37"/>
  <c r="F363" i="37"/>
  <c r="G363" i="37"/>
  <c r="H363" i="37"/>
  <c r="I363" i="37"/>
  <c r="J363" i="37"/>
  <c r="K363" i="37"/>
  <c r="L363" i="37"/>
  <c r="M363" i="37"/>
  <c r="N363" i="37"/>
  <c r="O363" i="37"/>
  <c r="P363" i="37"/>
  <c r="Q363" i="37"/>
  <c r="R363" i="37"/>
  <c r="S363" i="37"/>
  <c r="T363" i="37"/>
  <c r="U363" i="37"/>
  <c r="V363" i="37"/>
  <c r="W363" i="37"/>
  <c r="X363" i="37"/>
  <c r="Y363" i="37"/>
  <c r="Z363" i="37"/>
  <c r="AA363" i="37"/>
  <c r="D364" i="37"/>
  <c r="C364" i="37" s="1"/>
  <c r="C363" i="37" s="1"/>
  <c r="D249" i="37"/>
  <c r="E249" i="37"/>
  <c r="F249" i="37"/>
  <c r="G249" i="37"/>
  <c r="H249" i="37"/>
  <c r="I249" i="37"/>
  <c r="J249" i="37"/>
  <c r="K249" i="37"/>
  <c r="L249" i="37"/>
  <c r="M249" i="37"/>
  <c r="N249" i="37"/>
  <c r="O249" i="37"/>
  <c r="P249" i="37"/>
  <c r="Q249" i="37"/>
  <c r="R249" i="37"/>
  <c r="S249" i="37"/>
  <c r="T249" i="37"/>
  <c r="U249" i="37"/>
  <c r="V249" i="37"/>
  <c r="W249" i="37"/>
  <c r="X249" i="37"/>
  <c r="Y249" i="37"/>
  <c r="Z249" i="37"/>
  <c r="AA249" i="37"/>
  <c r="C250" i="37"/>
  <c r="C249" i="37" s="1"/>
  <c r="E114" i="37"/>
  <c r="F114" i="37"/>
  <c r="G114" i="37"/>
  <c r="H114" i="37"/>
  <c r="I114" i="37"/>
  <c r="J114" i="37"/>
  <c r="K114" i="37"/>
  <c r="L114" i="37"/>
  <c r="M114" i="37"/>
  <c r="N114" i="37"/>
  <c r="O114" i="37"/>
  <c r="P114" i="37"/>
  <c r="Q114" i="37"/>
  <c r="R114" i="37"/>
  <c r="S114" i="37"/>
  <c r="T114" i="37"/>
  <c r="U114" i="37"/>
  <c r="V114" i="37"/>
  <c r="W114" i="37"/>
  <c r="X114" i="37"/>
  <c r="Y114" i="37"/>
  <c r="Z114" i="37"/>
  <c r="AA114" i="37"/>
  <c r="D116" i="37"/>
  <c r="C116" i="37" s="1"/>
  <c r="D115" i="37"/>
  <c r="C115" i="37" s="1"/>
  <c r="H387" i="38"/>
  <c r="I387" i="38"/>
  <c r="J387" i="38"/>
  <c r="D86" i="39" s="1"/>
  <c r="L387" i="38"/>
  <c r="M387" i="38"/>
  <c r="N387" i="38"/>
  <c r="O387" i="38"/>
  <c r="P387" i="38"/>
  <c r="Q387" i="38"/>
  <c r="G387" i="38"/>
  <c r="C86" i="39" s="1"/>
  <c r="K388" i="38"/>
  <c r="K387" i="38" s="1"/>
  <c r="F86" i="39" s="1"/>
  <c r="H265" i="38"/>
  <c r="I265" i="38"/>
  <c r="J265" i="38"/>
  <c r="D57" i="39" s="1"/>
  <c r="L265" i="38"/>
  <c r="M265" i="38"/>
  <c r="N265" i="38"/>
  <c r="O265" i="38"/>
  <c r="P265" i="38"/>
  <c r="Q265" i="38"/>
  <c r="G265" i="38"/>
  <c r="C57" i="39" s="1"/>
  <c r="K266" i="38"/>
  <c r="K265" i="38" s="1"/>
  <c r="F57" i="39" s="1"/>
  <c r="H122" i="38"/>
  <c r="I122" i="38"/>
  <c r="J122" i="38"/>
  <c r="D28" i="39" s="1"/>
  <c r="L122" i="38"/>
  <c r="M122" i="38"/>
  <c r="N122" i="38"/>
  <c r="O122" i="38"/>
  <c r="P122" i="38"/>
  <c r="Q122" i="38"/>
  <c r="G122" i="38"/>
  <c r="C28" i="39" s="1"/>
  <c r="C389" i="37" l="1"/>
  <c r="C388" i="37" s="1"/>
  <c r="D388" i="37"/>
  <c r="C114" i="37"/>
  <c r="D175" i="37"/>
  <c r="D114" i="37"/>
  <c r="D363" i="37"/>
  <c r="K124" i="38"/>
  <c r="K123" i="38"/>
  <c r="K122" i="38" l="1"/>
  <c r="F28" i="39" s="1"/>
  <c r="E715" i="37"/>
  <c r="F715" i="37"/>
  <c r="G715" i="37"/>
  <c r="H715" i="37"/>
  <c r="I715" i="37"/>
  <c r="J715" i="37"/>
  <c r="K715" i="37"/>
  <c r="L715" i="37"/>
  <c r="M715" i="37"/>
  <c r="N715" i="37"/>
  <c r="O715" i="37"/>
  <c r="P715" i="37"/>
  <c r="Q715" i="37"/>
  <c r="R715" i="37"/>
  <c r="S715" i="37"/>
  <c r="T715" i="37"/>
  <c r="U715" i="37"/>
  <c r="V715" i="37"/>
  <c r="W715" i="37"/>
  <c r="X715" i="37"/>
  <c r="Y715" i="37"/>
  <c r="Z715" i="37"/>
  <c r="AA715" i="37"/>
  <c r="D717" i="37"/>
  <c r="C717" i="37" s="1"/>
  <c r="D718" i="37"/>
  <c r="C718" i="37" s="1"/>
  <c r="D719" i="37"/>
  <c r="C719" i="37" s="1"/>
  <c r="D720" i="37"/>
  <c r="C720" i="37" s="1"/>
  <c r="D721" i="37"/>
  <c r="C721" i="37" s="1"/>
  <c r="D722" i="37"/>
  <c r="C722" i="37" s="1"/>
  <c r="D723" i="37"/>
  <c r="C723" i="37" s="1"/>
  <c r="D724" i="37"/>
  <c r="D725" i="37"/>
  <c r="C725" i="37" s="1"/>
  <c r="D726" i="37"/>
  <c r="C726" i="37" s="1"/>
  <c r="D716" i="37"/>
  <c r="C716" i="37" s="1"/>
  <c r="C724" i="37"/>
  <c r="D251" i="37"/>
  <c r="E251" i="37"/>
  <c r="F251" i="37"/>
  <c r="G251" i="37"/>
  <c r="H251" i="37"/>
  <c r="I251" i="37"/>
  <c r="J251" i="37"/>
  <c r="K251" i="37"/>
  <c r="L251" i="37"/>
  <c r="M251" i="37"/>
  <c r="N251" i="37"/>
  <c r="O251" i="37"/>
  <c r="P251" i="37"/>
  <c r="Q251" i="37"/>
  <c r="R251" i="37"/>
  <c r="S251" i="37"/>
  <c r="T251" i="37"/>
  <c r="U251" i="37"/>
  <c r="V251" i="37"/>
  <c r="W251" i="37"/>
  <c r="X251" i="37"/>
  <c r="Y251" i="37"/>
  <c r="Z251" i="37"/>
  <c r="AA251" i="37"/>
  <c r="C252" i="37"/>
  <c r="C251" i="37" s="1"/>
  <c r="H747" i="38"/>
  <c r="I747" i="38"/>
  <c r="J747" i="38"/>
  <c r="D116" i="39" s="1"/>
  <c r="L747" i="38"/>
  <c r="M747" i="38"/>
  <c r="N747" i="38"/>
  <c r="O747" i="38"/>
  <c r="P747" i="38"/>
  <c r="Q747" i="38"/>
  <c r="G747" i="38"/>
  <c r="C116" i="39" s="1"/>
  <c r="K758" i="38"/>
  <c r="K757" i="38"/>
  <c r="K756" i="38"/>
  <c r="K755" i="38"/>
  <c r="K754" i="38"/>
  <c r="K753" i="38"/>
  <c r="K752" i="38"/>
  <c r="K751" i="38"/>
  <c r="K750" i="38"/>
  <c r="K749" i="38"/>
  <c r="K748" i="38"/>
  <c r="H267" i="38"/>
  <c r="I267" i="38"/>
  <c r="J267" i="38"/>
  <c r="D58" i="39" s="1"/>
  <c r="N267" i="38"/>
  <c r="G267" i="38"/>
  <c r="C58" i="39" s="1"/>
  <c r="K268" i="38"/>
  <c r="K267" i="38" s="1"/>
  <c r="F58" i="39" s="1"/>
  <c r="C715" i="37" l="1"/>
  <c r="D715" i="37"/>
  <c r="K747" i="38"/>
  <c r="F116" i="39" s="1"/>
  <c r="E771" i="37" l="1"/>
  <c r="F771" i="37"/>
  <c r="G771" i="37"/>
  <c r="H771" i="37"/>
  <c r="I771" i="37"/>
  <c r="J771" i="37"/>
  <c r="K771" i="37"/>
  <c r="L771" i="37"/>
  <c r="M771" i="37"/>
  <c r="N771" i="37"/>
  <c r="O771" i="37"/>
  <c r="P771" i="37"/>
  <c r="Q771" i="37"/>
  <c r="R771" i="37"/>
  <c r="S771" i="37"/>
  <c r="T771" i="37"/>
  <c r="U771" i="37"/>
  <c r="V771" i="37"/>
  <c r="W771" i="37"/>
  <c r="X771" i="37"/>
  <c r="Y771" i="37"/>
  <c r="Z771" i="37"/>
  <c r="AA771" i="37"/>
  <c r="D773" i="37"/>
  <c r="C773" i="37" s="1"/>
  <c r="D772" i="37"/>
  <c r="C772" i="37" s="1"/>
  <c r="H796" i="38"/>
  <c r="I796" i="38"/>
  <c r="J796" i="38"/>
  <c r="D127" i="39" s="1"/>
  <c r="L796" i="38"/>
  <c r="M796" i="38"/>
  <c r="N796" i="38"/>
  <c r="O796" i="38"/>
  <c r="P796" i="38"/>
  <c r="Q796" i="38"/>
  <c r="K798" i="38"/>
  <c r="K796" i="38" s="1"/>
  <c r="F127" i="39" s="1"/>
  <c r="G796" i="38"/>
  <c r="C127" i="39" s="1"/>
  <c r="E215" i="37"/>
  <c r="F215" i="37"/>
  <c r="G215" i="37"/>
  <c r="H215" i="37"/>
  <c r="I215" i="37"/>
  <c r="J215" i="37"/>
  <c r="K215" i="37"/>
  <c r="L215" i="37"/>
  <c r="M215" i="37"/>
  <c r="N215" i="37"/>
  <c r="O215" i="37"/>
  <c r="P215" i="37"/>
  <c r="Q215" i="37"/>
  <c r="R215" i="37"/>
  <c r="S215" i="37"/>
  <c r="T215" i="37"/>
  <c r="U215" i="37"/>
  <c r="V215" i="37"/>
  <c r="W215" i="37"/>
  <c r="X215" i="37"/>
  <c r="Y215" i="37"/>
  <c r="Z215" i="37"/>
  <c r="AA215" i="37"/>
  <c r="D220" i="37"/>
  <c r="C771" i="37" l="1"/>
  <c r="D771" i="37"/>
  <c r="H231" i="38"/>
  <c r="I231" i="38"/>
  <c r="J231" i="38"/>
  <c r="D50" i="39" s="1"/>
  <c r="L231" i="38"/>
  <c r="M231" i="38"/>
  <c r="N231" i="38"/>
  <c r="O231" i="38"/>
  <c r="P231" i="38"/>
  <c r="Q231" i="38"/>
  <c r="G231" i="38"/>
  <c r="C50" i="39" s="1"/>
  <c r="K236" i="38"/>
  <c r="E765" i="37" l="1"/>
  <c r="F765" i="37"/>
  <c r="G765" i="37"/>
  <c r="H765" i="37"/>
  <c r="I765" i="37"/>
  <c r="J765" i="37"/>
  <c r="K765" i="37"/>
  <c r="L765" i="37"/>
  <c r="M765" i="37"/>
  <c r="N765" i="37"/>
  <c r="O765" i="37"/>
  <c r="P765" i="37"/>
  <c r="Q765" i="37"/>
  <c r="R765" i="37"/>
  <c r="S765" i="37"/>
  <c r="T765" i="37"/>
  <c r="U765" i="37"/>
  <c r="V765" i="37"/>
  <c r="W765" i="37"/>
  <c r="X765" i="37"/>
  <c r="Y765" i="37"/>
  <c r="Z765" i="37"/>
  <c r="AA765" i="37"/>
  <c r="D766" i="37"/>
  <c r="C766" i="37" s="1"/>
  <c r="C765" i="37" s="1"/>
  <c r="H790" i="38"/>
  <c r="I790" i="38"/>
  <c r="J790" i="38"/>
  <c r="D124" i="39" s="1"/>
  <c r="N790" i="38"/>
  <c r="O790" i="38"/>
  <c r="G790" i="38"/>
  <c r="C124" i="39" s="1"/>
  <c r="K791" i="38"/>
  <c r="K790" i="38" s="1"/>
  <c r="F124" i="39" s="1"/>
  <c r="D765" i="37" l="1"/>
  <c r="AA636" i="37"/>
  <c r="Y636" i="37"/>
  <c r="X636" i="37"/>
  <c r="W636" i="37"/>
  <c r="R636" i="37"/>
  <c r="Q636" i="37"/>
  <c r="N636" i="37"/>
  <c r="M636" i="37"/>
  <c r="L636" i="37"/>
  <c r="K636" i="37"/>
  <c r="J636" i="37"/>
  <c r="H636" i="37"/>
  <c r="G636" i="37"/>
  <c r="F636" i="37"/>
  <c r="E636" i="37"/>
  <c r="I636" i="37"/>
  <c r="O636" i="37"/>
  <c r="P636" i="37"/>
  <c r="S636" i="37"/>
  <c r="T636" i="37"/>
  <c r="U636" i="37"/>
  <c r="V636" i="37"/>
  <c r="Z636" i="37"/>
  <c r="D660" i="37"/>
  <c r="C660" i="37" s="1"/>
  <c r="D659" i="37"/>
  <c r="C659" i="37" s="1"/>
  <c r="D658" i="37"/>
  <c r="C658" i="37" s="1"/>
  <c r="D657" i="37"/>
  <c r="C657" i="37" s="1"/>
  <c r="D656" i="37"/>
  <c r="C656" i="37" s="1"/>
  <c r="D655" i="37"/>
  <c r="C655" i="37" s="1"/>
  <c r="D654" i="37"/>
  <c r="C654" i="37" s="1"/>
  <c r="D653" i="37"/>
  <c r="C653" i="37" s="1"/>
  <c r="D652" i="37"/>
  <c r="C652" i="37" s="1"/>
  <c r="D651" i="37"/>
  <c r="C651" i="37" s="1"/>
  <c r="D650" i="37"/>
  <c r="C650" i="37" s="1"/>
  <c r="D649" i="37"/>
  <c r="C649" i="37" s="1"/>
  <c r="D648" i="37"/>
  <c r="C648" i="37" s="1"/>
  <c r="D647" i="37"/>
  <c r="C647" i="37" s="1"/>
  <c r="D646" i="37"/>
  <c r="C646" i="37" s="1"/>
  <c r="D645" i="37"/>
  <c r="C645" i="37" s="1"/>
  <c r="D644" i="37"/>
  <c r="C644" i="37" s="1"/>
  <c r="D643" i="37"/>
  <c r="C643" i="37" s="1"/>
  <c r="D642" i="37"/>
  <c r="C642" i="37" s="1"/>
  <c r="D641" i="37"/>
  <c r="C641" i="37" s="1"/>
  <c r="D640" i="37"/>
  <c r="C640" i="37" s="1"/>
  <c r="D639" i="37"/>
  <c r="C639" i="37" s="1"/>
  <c r="D638" i="37"/>
  <c r="C638" i="37" s="1"/>
  <c r="D637" i="37"/>
  <c r="C637" i="37" s="1"/>
  <c r="E332" i="37"/>
  <c r="F332" i="37"/>
  <c r="G332" i="37"/>
  <c r="H332" i="37"/>
  <c r="I332" i="37"/>
  <c r="J332" i="37"/>
  <c r="K332" i="37"/>
  <c r="L332" i="37"/>
  <c r="M332" i="37"/>
  <c r="N332" i="37"/>
  <c r="O332" i="37"/>
  <c r="P332" i="37"/>
  <c r="Q332" i="37"/>
  <c r="R332" i="37"/>
  <c r="S332" i="37"/>
  <c r="T332" i="37"/>
  <c r="U332" i="37"/>
  <c r="V332" i="37"/>
  <c r="W332" i="37"/>
  <c r="X332" i="37"/>
  <c r="Y332" i="37"/>
  <c r="Z332" i="37"/>
  <c r="AA332" i="37"/>
  <c r="D335" i="37"/>
  <c r="C335" i="37" s="1"/>
  <c r="D334" i="37"/>
  <c r="C334" i="37" s="1"/>
  <c r="D333" i="37"/>
  <c r="C333" i="37" s="1"/>
  <c r="E223" i="37"/>
  <c r="F223" i="37"/>
  <c r="G223" i="37"/>
  <c r="H223" i="37"/>
  <c r="I223" i="37"/>
  <c r="J223" i="37"/>
  <c r="K223" i="37"/>
  <c r="L223" i="37"/>
  <c r="M223" i="37"/>
  <c r="N223" i="37"/>
  <c r="O223" i="37"/>
  <c r="P223" i="37"/>
  <c r="Q223" i="37"/>
  <c r="R223" i="37"/>
  <c r="S223" i="37"/>
  <c r="T223" i="37"/>
  <c r="U223" i="37"/>
  <c r="V223" i="37"/>
  <c r="W223" i="37"/>
  <c r="X223" i="37"/>
  <c r="Y223" i="37"/>
  <c r="Z223" i="37"/>
  <c r="AA223" i="37"/>
  <c r="D227" i="37"/>
  <c r="C227" i="37" s="1"/>
  <c r="D226" i="37"/>
  <c r="C226" i="37" s="1"/>
  <c r="D225" i="37"/>
  <c r="C225" i="37" s="1"/>
  <c r="D224" i="37"/>
  <c r="C224" i="37" s="1"/>
  <c r="X82" i="37"/>
  <c r="E82" i="37"/>
  <c r="F82" i="37"/>
  <c r="G82" i="37"/>
  <c r="H82" i="37"/>
  <c r="I82" i="37"/>
  <c r="J82" i="37"/>
  <c r="K82" i="37"/>
  <c r="L82" i="37"/>
  <c r="M82" i="37"/>
  <c r="N82" i="37"/>
  <c r="O82" i="37"/>
  <c r="P82" i="37"/>
  <c r="Q82" i="37"/>
  <c r="R82" i="37"/>
  <c r="S82" i="37"/>
  <c r="T82" i="37"/>
  <c r="U82" i="37"/>
  <c r="V82" i="37"/>
  <c r="W82" i="37"/>
  <c r="Y82" i="37"/>
  <c r="AA82" i="37"/>
  <c r="D85" i="37"/>
  <c r="C85" i="37" s="1"/>
  <c r="D84" i="37"/>
  <c r="C84" i="37" s="1"/>
  <c r="Z83" i="37"/>
  <c r="Z82" i="37" s="1"/>
  <c r="D83" i="37"/>
  <c r="C223" i="37" l="1"/>
  <c r="C332" i="37"/>
  <c r="C83" i="37"/>
  <c r="C82" i="37" s="1"/>
  <c r="D223" i="37"/>
  <c r="D332" i="37"/>
  <c r="D82" i="37"/>
  <c r="C636" i="37"/>
  <c r="D636" i="37"/>
  <c r="H668" i="38" l="1"/>
  <c r="I668" i="38"/>
  <c r="J668" i="38"/>
  <c r="D110" i="39" s="1"/>
  <c r="K668" i="38"/>
  <c r="F110" i="39" s="1"/>
  <c r="N668" i="38"/>
  <c r="O668" i="38"/>
  <c r="G668" i="38"/>
  <c r="C110" i="39" s="1"/>
  <c r="H356" i="38" l="1"/>
  <c r="I356" i="38"/>
  <c r="J356" i="38"/>
  <c r="D81" i="39" s="1"/>
  <c r="K356" i="38"/>
  <c r="F81" i="39" s="1"/>
  <c r="L356" i="38"/>
  <c r="M356" i="38"/>
  <c r="O356" i="38"/>
  <c r="P356" i="38"/>
  <c r="Q356" i="38"/>
  <c r="G356" i="38"/>
  <c r="C81" i="39" s="1"/>
  <c r="N359" i="38"/>
  <c r="N358" i="38"/>
  <c r="N357" i="38"/>
  <c r="H239" i="38"/>
  <c r="I239" i="38"/>
  <c r="J239" i="38"/>
  <c r="D52" i="39" s="1"/>
  <c r="L239" i="38"/>
  <c r="M239" i="38"/>
  <c r="N239" i="38"/>
  <c r="O239" i="38"/>
  <c r="P239" i="38"/>
  <c r="Q239" i="38"/>
  <c r="G239" i="38"/>
  <c r="C52" i="39" s="1"/>
  <c r="K241" i="38"/>
  <c r="K242" i="38"/>
  <c r="K243" i="38"/>
  <c r="K240" i="38"/>
  <c r="H90" i="38"/>
  <c r="I90" i="38"/>
  <c r="J90" i="38"/>
  <c r="D23" i="39" s="1"/>
  <c r="N90" i="38"/>
  <c r="G90" i="38"/>
  <c r="C23" i="39" s="1"/>
  <c r="K92" i="38"/>
  <c r="K93" i="38"/>
  <c r="K91" i="38"/>
  <c r="N356" i="38" l="1"/>
  <c r="K239" i="38"/>
  <c r="F52" i="39" s="1"/>
  <c r="K90" i="38"/>
  <c r="F23" i="39" s="1"/>
  <c r="E537" i="37"/>
  <c r="F537" i="37"/>
  <c r="G537" i="37"/>
  <c r="H537" i="37"/>
  <c r="I537" i="37"/>
  <c r="J537" i="37"/>
  <c r="K537" i="37"/>
  <c r="L537" i="37"/>
  <c r="M537" i="37"/>
  <c r="N537" i="37"/>
  <c r="O537" i="37"/>
  <c r="P537" i="37"/>
  <c r="Q537" i="37"/>
  <c r="R537" i="37"/>
  <c r="S537" i="37"/>
  <c r="T537" i="37"/>
  <c r="U537" i="37"/>
  <c r="V537" i="37"/>
  <c r="W537" i="37"/>
  <c r="X537" i="37"/>
  <c r="Y537" i="37"/>
  <c r="Z537" i="37"/>
  <c r="AA537" i="37"/>
  <c r="L218" i="38"/>
  <c r="AA671" i="37" l="1"/>
  <c r="Y671" i="37"/>
  <c r="X671" i="37"/>
  <c r="W671" i="37"/>
  <c r="R671" i="37"/>
  <c r="Q671" i="37"/>
  <c r="P671" i="37"/>
  <c r="O671" i="37"/>
  <c r="N671" i="37"/>
  <c r="M671" i="37"/>
  <c r="L671" i="37"/>
  <c r="K671" i="37"/>
  <c r="I671" i="37"/>
  <c r="H671" i="37"/>
  <c r="G671" i="37"/>
  <c r="F671" i="37"/>
  <c r="E671" i="37"/>
  <c r="J671" i="37"/>
  <c r="S671" i="37"/>
  <c r="T671" i="37"/>
  <c r="U671" i="37"/>
  <c r="V671" i="37"/>
  <c r="Z671" i="37"/>
  <c r="D677" i="37"/>
  <c r="C677" i="37" s="1"/>
  <c r="D676" i="37"/>
  <c r="C676" i="37" s="1"/>
  <c r="D675" i="37"/>
  <c r="C675" i="37" s="1"/>
  <c r="D674" i="37"/>
  <c r="C674" i="37" s="1"/>
  <c r="D673" i="37"/>
  <c r="C673" i="37" s="1"/>
  <c r="D672" i="37"/>
  <c r="C672" i="37" s="1"/>
  <c r="AA230" i="37"/>
  <c r="E230" i="37"/>
  <c r="F230" i="37"/>
  <c r="G230" i="37"/>
  <c r="H230" i="37"/>
  <c r="I230" i="37"/>
  <c r="J230" i="37"/>
  <c r="K230" i="37"/>
  <c r="L230" i="37"/>
  <c r="M230" i="37"/>
  <c r="N230" i="37"/>
  <c r="O230" i="37"/>
  <c r="P230" i="37"/>
  <c r="Q230" i="37"/>
  <c r="R230" i="37"/>
  <c r="S230" i="37"/>
  <c r="T230" i="37"/>
  <c r="U230" i="37"/>
  <c r="V230" i="37"/>
  <c r="W230" i="37"/>
  <c r="X230" i="37"/>
  <c r="Y230" i="37"/>
  <c r="Z230" i="37"/>
  <c r="D231" i="37"/>
  <c r="C231" i="37" s="1"/>
  <c r="C230" i="37" s="1"/>
  <c r="H724" i="38"/>
  <c r="I724" i="38"/>
  <c r="J724" i="38"/>
  <c r="D114" i="39" s="1"/>
  <c r="K724" i="38"/>
  <c r="F114" i="39" s="1"/>
  <c r="L724" i="38"/>
  <c r="M724" i="38"/>
  <c r="N724" i="38"/>
  <c r="O724" i="38"/>
  <c r="P724" i="38"/>
  <c r="Q724" i="38"/>
  <c r="G724" i="38"/>
  <c r="C114" i="39" s="1"/>
  <c r="C671" i="37" l="1"/>
  <c r="D230" i="37"/>
  <c r="D671" i="37"/>
  <c r="Q259" i="38"/>
  <c r="P259" i="38"/>
  <c r="O259" i="38"/>
  <c r="M259" i="38"/>
  <c r="L259" i="38"/>
  <c r="H259" i="38"/>
  <c r="I259" i="38"/>
  <c r="J259" i="38"/>
  <c r="D55" i="39" s="1"/>
  <c r="K259" i="38"/>
  <c r="F55" i="39" s="1"/>
  <c r="N259" i="38"/>
  <c r="G259" i="38"/>
  <c r="C55" i="39" s="1"/>
  <c r="D547" i="37"/>
  <c r="C547" i="37" s="1"/>
  <c r="D546" i="37"/>
  <c r="C546" i="37" s="1"/>
  <c r="D545" i="37"/>
  <c r="C545" i="37" s="1"/>
  <c r="D544" i="37"/>
  <c r="C544" i="37" s="1"/>
  <c r="C543" i="37"/>
  <c r="D542" i="37"/>
  <c r="C542" i="37" s="1"/>
  <c r="D541" i="37"/>
  <c r="C541" i="37" s="1"/>
  <c r="D540" i="37"/>
  <c r="C540" i="37" s="1"/>
  <c r="D539" i="37"/>
  <c r="C539" i="37" s="1"/>
  <c r="D538" i="37"/>
  <c r="E301" i="37"/>
  <c r="F301" i="37"/>
  <c r="G301" i="37"/>
  <c r="H301" i="37"/>
  <c r="I301" i="37"/>
  <c r="J301" i="37"/>
  <c r="K301" i="37"/>
  <c r="L301" i="37"/>
  <c r="M301" i="37"/>
  <c r="N301" i="37"/>
  <c r="O301" i="37"/>
  <c r="P301" i="37"/>
  <c r="Q301" i="37"/>
  <c r="R301" i="37"/>
  <c r="S301" i="37"/>
  <c r="T301" i="37"/>
  <c r="U301" i="37"/>
  <c r="V301" i="37"/>
  <c r="W301" i="37"/>
  <c r="X301" i="37"/>
  <c r="Y301" i="37"/>
  <c r="Z301" i="37"/>
  <c r="AA301" i="37"/>
  <c r="D302" i="37"/>
  <c r="C302" i="37" s="1"/>
  <c r="C301" i="37" s="1"/>
  <c r="D191" i="37"/>
  <c r="E191" i="37"/>
  <c r="F191" i="37"/>
  <c r="G191" i="37"/>
  <c r="H191" i="37"/>
  <c r="I191" i="37"/>
  <c r="J191" i="37"/>
  <c r="K191" i="37"/>
  <c r="L191" i="37"/>
  <c r="M191" i="37"/>
  <c r="N191" i="37"/>
  <c r="O191" i="37"/>
  <c r="P191" i="37"/>
  <c r="Q191" i="37"/>
  <c r="R191" i="37"/>
  <c r="S191" i="37"/>
  <c r="T191" i="37"/>
  <c r="U191" i="37"/>
  <c r="V191" i="37"/>
  <c r="W191" i="37"/>
  <c r="X191" i="37"/>
  <c r="Y191" i="37"/>
  <c r="Z191" i="37"/>
  <c r="AA191" i="37"/>
  <c r="C192" i="37"/>
  <c r="C191" i="37" s="1"/>
  <c r="E23" i="37"/>
  <c r="F23" i="37"/>
  <c r="G23" i="37"/>
  <c r="H23" i="37"/>
  <c r="I23" i="37"/>
  <c r="J23" i="37"/>
  <c r="K23" i="37"/>
  <c r="L23" i="37"/>
  <c r="M23" i="37"/>
  <c r="N23" i="37"/>
  <c r="O23" i="37"/>
  <c r="P23" i="37"/>
  <c r="Q23" i="37"/>
  <c r="R23" i="37"/>
  <c r="S23" i="37"/>
  <c r="T23" i="37"/>
  <c r="U23" i="37"/>
  <c r="V23" i="37"/>
  <c r="W23" i="37"/>
  <c r="X23" i="37"/>
  <c r="Y23" i="37"/>
  <c r="Z23" i="37"/>
  <c r="AA23" i="37"/>
  <c r="D25" i="37"/>
  <c r="C25" i="37" s="1"/>
  <c r="D24" i="37"/>
  <c r="C24" i="37" s="1"/>
  <c r="H569" i="38"/>
  <c r="I569" i="38"/>
  <c r="J569" i="38"/>
  <c r="D98" i="39" s="1"/>
  <c r="L569" i="38"/>
  <c r="M569" i="38"/>
  <c r="N569" i="38"/>
  <c r="O569" i="38"/>
  <c r="P569" i="38"/>
  <c r="Q569" i="38"/>
  <c r="G569" i="38"/>
  <c r="C98" i="39" s="1"/>
  <c r="Q423" i="38" l="1"/>
  <c r="Q421" i="38" s="1"/>
  <c r="P423" i="38"/>
  <c r="P421" i="38" s="1"/>
  <c r="C23" i="37"/>
  <c r="D301" i="37"/>
  <c r="D23" i="37"/>
  <c r="D537" i="37"/>
  <c r="C538" i="37"/>
  <c r="C537" i="37" s="1"/>
  <c r="K579" i="38"/>
  <c r="K578" i="38"/>
  <c r="K577" i="38"/>
  <c r="K576" i="38"/>
  <c r="K574" i="38"/>
  <c r="K573" i="38"/>
  <c r="K572" i="38"/>
  <c r="K571" i="38"/>
  <c r="K570" i="38"/>
  <c r="I325" i="38"/>
  <c r="J325" i="38"/>
  <c r="D71" i="39" s="1"/>
  <c r="K325" i="38"/>
  <c r="F71" i="39" s="1"/>
  <c r="L325" i="38"/>
  <c r="M325" i="38"/>
  <c r="O325" i="38"/>
  <c r="P325" i="38"/>
  <c r="Q325" i="38"/>
  <c r="G325" i="38"/>
  <c r="C71" i="39" s="1"/>
  <c r="N326" i="38"/>
  <c r="N325" i="38" s="1"/>
  <c r="H326" i="38"/>
  <c r="H325" i="38" s="1"/>
  <c r="H207" i="38"/>
  <c r="I207" i="38"/>
  <c r="J207" i="38"/>
  <c r="D42" i="39" s="1"/>
  <c r="L207" i="38"/>
  <c r="M207" i="38"/>
  <c r="N207" i="38"/>
  <c r="O207" i="38"/>
  <c r="P207" i="38"/>
  <c r="Q207" i="38"/>
  <c r="G207" i="38"/>
  <c r="C42" i="39" s="1"/>
  <c r="K208" i="38"/>
  <c r="K207" i="38" s="1"/>
  <c r="F42" i="39" s="1"/>
  <c r="Q31" i="38"/>
  <c r="P31" i="38"/>
  <c r="O31" i="38"/>
  <c r="M31" i="38"/>
  <c r="L31" i="38"/>
  <c r="I31" i="38"/>
  <c r="J31" i="38"/>
  <c r="N31" i="38"/>
  <c r="G31" i="38"/>
  <c r="K33" i="38"/>
  <c r="K32" i="38"/>
  <c r="H33" i="38"/>
  <c r="H32" i="38"/>
  <c r="C11" i="39" l="1"/>
  <c r="D11" i="39"/>
  <c r="H31" i="38"/>
  <c r="K31" i="38"/>
  <c r="F11" i="39" s="1"/>
  <c r="K569" i="38"/>
  <c r="F98" i="39" s="1"/>
  <c r="Z661" i="37"/>
  <c r="AA661" i="37"/>
  <c r="Y661" i="37"/>
  <c r="X661" i="37"/>
  <c r="W661" i="37"/>
  <c r="V661" i="37"/>
  <c r="U661" i="37"/>
  <c r="T661" i="37"/>
  <c r="S661" i="37"/>
  <c r="R661" i="37"/>
  <c r="Q661" i="37"/>
  <c r="N661" i="37"/>
  <c r="M661" i="37"/>
  <c r="L661" i="37"/>
  <c r="K661" i="37"/>
  <c r="I661" i="37"/>
  <c r="F661" i="37"/>
  <c r="E661" i="37"/>
  <c r="G661" i="37"/>
  <c r="H661" i="37"/>
  <c r="J661" i="37"/>
  <c r="O661" i="37"/>
  <c r="P661" i="37"/>
  <c r="D663" i="37"/>
  <c r="C663" i="37" s="1"/>
  <c r="D664" i="37"/>
  <c r="C664" i="37" s="1"/>
  <c r="D665" i="37"/>
  <c r="C665" i="37" s="1"/>
  <c r="D666" i="37"/>
  <c r="C666" i="37" s="1"/>
  <c r="D667" i="37"/>
  <c r="C667" i="37" s="1"/>
  <c r="D668" i="37"/>
  <c r="C668" i="37" s="1"/>
  <c r="D669" i="37"/>
  <c r="C669" i="37" s="1"/>
  <c r="D670" i="37"/>
  <c r="C670" i="37" s="1"/>
  <c r="D662" i="37"/>
  <c r="C662" i="37" s="1"/>
  <c r="E228" i="37"/>
  <c r="F228" i="37"/>
  <c r="G228" i="37"/>
  <c r="H228" i="37"/>
  <c r="I228" i="37"/>
  <c r="J228" i="37"/>
  <c r="K228" i="37"/>
  <c r="L228" i="37"/>
  <c r="M228" i="37"/>
  <c r="N228" i="37"/>
  <c r="O228" i="37"/>
  <c r="P228" i="37"/>
  <c r="Q228" i="37"/>
  <c r="R228" i="37"/>
  <c r="S228" i="37"/>
  <c r="T228" i="37"/>
  <c r="U228" i="37"/>
  <c r="V228" i="37"/>
  <c r="W228" i="37"/>
  <c r="X228" i="37"/>
  <c r="Y228" i="37"/>
  <c r="Z228" i="37"/>
  <c r="AA228" i="37"/>
  <c r="D229" i="37"/>
  <c r="C229" i="37" s="1"/>
  <c r="C228" i="37" s="1"/>
  <c r="E88" i="37"/>
  <c r="F88" i="37"/>
  <c r="G88" i="37"/>
  <c r="H88" i="37"/>
  <c r="I88" i="37"/>
  <c r="J88" i="37"/>
  <c r="K88" i="37"/>
  <c r="L88" i="37"/>
  <c r="M88" i="37"/>
  <c r="N88" i="37"/>
  <c r="O88" i="37"/>
  <c r="P88" i="37"/>
  <c r="Q88" i="37"/>
  <c r="R88" i="37"/>
  <c r="S88" i="37"/>
  <c r="T88" i="37"/>
  <c r="U88" i="37"/>
  <c r="V88" i="37"/>
  <c r="W88" i="37"/>
  <c r="X88" i="37"/>
  <c r="Y88" i="37"/>
  <c r="Z88" i="37"/>
  <c r="AA88" i="37"/>
  <c r="D89" i="37"/>
  <c r="C89" i="37" s="1"/>
  <c r="C88" i="37" s="1"/>
  <c r="H693" i="38"/>
  <c r="I693" i="38"/>
  <c r="J693" i="38"/>
  <c r="D111" i="39" s="1"/>
  <c r="N693" i="38"/>
  <c r="O693" i="38"/>
  <c r="G693" i="38"/>
  <c r="C111" i="39" s="1"/>
  <c r="K696" i="38"/>
  <c r="K694" i="38"/>
  <c r="K695" i="38"/>
  <c r="D228" i="37" l="1"/>
  <c r="D88" i="37"/>
  <c r="K693" i="38"/>
  <c r="F111" i="39" s="1"/>
  <c r="C661" i="37"/>
  <c r="D661" i="37"/>
  <c r="H244" i="38"/>
  <c r="I244" i="38"/>
  <c r="J244" i="38"/>
  <c r="D53" i="39" s="1"/>
  <c r="K244" i="38"/>
  <c r="F53" i="39" s="1"/>
  <c r="L244" i="38"/>
  <c r="M244" i="38"/>
  <c r="N244" i="38"/>
  <c r="O244" i="38"/>
  <c r="P244" i="38"/>
  <c r="Q244" i="38"/>
  <c r="G244" i="38"/>
  <c r="C53" i="39" s="1"/>
  <c r="L58" i="38"/>
  <c r="Q96" i="38"/>
  <c r="P96" i="38"/>
  <c r="O96" i="38"/>
  <c r="M96" i="38"/>
  <c r="L96" i="38"/>
  <c r="H96" i="38"/>
  <c r="I96" i="38"/>
  <c r="J96" i="38"/>
  <c r="D25" i="39" s="1"/>
  <c r="K96" i="38"/>
  <c r="F25" i="39" s="1"/>
  <c r="N96" i="38"/>
  <c r="G96" i="38"/>
  <c r="C25" i="39" s="1"/>
  <c r="E202" i="37" l="1"/>
  <c r="F202" i="37"/>
  <c r="G202" i="37"/>
  <c r="H202" i="37"/>
  <c r="I202" i="37"/>
  <c r="J202" i="37"/>
  <c r="K202" i="37"/>
  <c r="L202" i="37"/>
  <c r="M202" i="37"/>
  <c r="N202" i="37"/>
  <c r="O202" i="37"/>
  <c r="P202" i="37"/>
  <c r="Q202" i="37"/>
  <c r="R202" i="37"/>
  <c r="S202" i="37"/>
  <c r="T202" i="37"/>
  <c r="U202" i="37"/>
  <c r="V202" i="37"/>
  <c r="W202" i="37"/>
  <c r="X202" i="37"/>
  <c r="Y202" i="37"/>
  <c r="Z202" i="37"/>
  <c r="AA202" i="37"/>
  <c r="D203" i="37"/>
  <c r="C203" i="37" s="1"/>
  <c r="C202" i="37" s="1"/>
  <c r="E50" i="37"/>
  <c r="F50" i="37"/>
  <c r="G50" i="37"/>
  <c r="H50" i="37"/>
  <c r="I50" i="37"/>
  <c r="J50" i="37"/>
  <c r="K50" i="37"/>
  <c r="L50" i="37"/>
  <c r="M50" i="37"/>
  <c r="N50" i="37"/>
  <c r="O50" i="37"/>
  <c r="P50" i="37"/>
  <c r="Q50" i="37"/>
  <c r="R50" i="37"/>
  <c r="S50" i="37"/>
  <c r="T50" i="37"/>
  <c r="U50" i="37"/>
  <c r="V50" i="37"/>
  <c r="W50" i="37"/>
  <c r="X50" i="37"/>
  <c r="Y50" i="37"/>
  <c r="Z50" i="37"/>
  <c r="AA50" i="37"/>
  <c r="D51" i="37"/>
  <c r="C51" i="37" s="1"/>
  <c r="C50" i="37" s="1"/>
  <c r="P218" i="38"/>
  <c r="O218" i="38"/>
  <c r="M218" i="38"/>
  <c r="H218" i="38"/>
  <c r="I218" i="38"/>
  <c r="J218" i="38"/>
  <c r="D46" i="39" s="1"/>
  <c r="K218" i="38"/>
  <c r="F46" i="39" s="1"/>
  <c r="N218" i="38"/>
  <c r="G218" i="38"/>
  <c r="C46" i="39" s="1"/>
  <c r="Q58" i="38"/>
  <c r="P58" i="38"/>
  <c r="O58" i="38"/>
  <c r="M58" i="38"/>
  <c r="H58" i="38"/>
  <c r="I58" i="38"/>
  <c r="J58" i="38"/>
  <c r="D17" i="39" s="1"/>
  <c r="K58" i="38"/>
  <c r="F17" i="39" s="1"/>
  <c r="N58" i="38"/>
  <c r="G58" i="38"/>
  <c r="C17" i="39" s="1"/>
  <c r="D202" i="37" l="1"/>
  <c r="D50" i="37"/>
  <c r="E763" i="37"/>
  <c r="F763" i="37"/>
  <c r="G763" i="37"/>
  <c r="H763" i="37"/>
  <c r="I763" i="37"/>
  <c r="J763" i="37"/>
  <c r="K763" i="37"/>
  <c r="L763" i="37"/>
  <c r="M763" i="37"/>
  <c r="N763" i="37"/>
  <c r="O763" i="37"/>
  <c r="P763" i="37"/>
  <c r="Q763" i="37"/>
  <c r="R763" i="37"/>
  <c r="S763" i="37"/>
  <c r="T763" i="37"/>
  <c r="U763" i="37"/>
  <c r="V763" i="37"/>
  <c r="W763" i="37"/>
  <c r="X763" i="37"/>
  <c r="Y763" i="37"/>
  <c r="Z763" i="37"/>
  <c r="AA763" i="37"/>
  <c r="D764" i="37"/>
  <c r="C764" i="37" s="1"/>
  <c r="C763" i="37" s="1"/>
  <c r="E380" i="37"/>
  <c r="F380" i="37"/>
  <c r="G380" i="37"/>
  <c r="H380" i="37"/>
  <c r="I380" i="37"/>
  <c r="J380" i="37"/>
  <c r="K380" i="37"/>
  <c r="L380" i="37"/>
  <c r="M380" i="37"/>
  <c r="N380" i="37"/>
  <c r="O380" i="37"/>
  <c r="P380" i="37"/>
  <c r="Q380" i="37"/>
  <c r="R380" i="37"/>
  <c r="S380" i="37"/>
  <c r="T380" i="37"/>
  <c r="U380" i="37"/>
  <c r="V380" i="37"/>
  <c r="W380" i="37"/>
  <c r="X380" i="37"/>
  <c r="Y380" i="37"/>
  <c r="Z380" i="37"/>
  <c r="AA380" i="37"/>
  <c r="D381" i="37"/>
  <c r="D380" i="37" s="1"/>
  <c r="E266" i="37"/>
  <c r="F266" i="37"/>
  <c r="G266" i="37"/>
  <c r="H266" i="37"/>
  <c r="I266" i="37"/>
  <c r="J266" i="37"/>
  <c r="K266" i="37"/>
  <c r="L266" i="37"/>
  <c r="M266" i="37"/>
  <c r="N266" i="37"/>
  <c r="O266" i="37"/>
  <c r="P266" i="37"/>
  <c r="Q266" i="37"/>
  <c r="R266" i="37"/>
  <c r="S266" i="37"/>
  <c r="T266" i="37"/>
  <c r="U266" i="37"/>
  <c r="V266" i="37"/>
  <c r="W266" i="37"/>
  <c r="X266" i="37"/>
  <c r="Y266" i="37"/>
  <c r="Z266" i="37"/>
  <c r="AA266" i="37"/>
  <c r="D267" i="37"/>
  <c r="C267" i="37" s="1"/>
  <c r="C266" i="37" s="1"/>
  <c r="E153" i="37"/>
  <c r="F153" i="37"/>
  <c r="G153" i="37"/>
  <c r="H153" i="37"/>
  <c r="I153" i="37"/>
  <c r="J153" i="37"/>
  <c r="K153" i="37"/>
  <c r="L153" i="37"/>
  <c r="M153" i="37"/>
  <c r="N153" i="37"/>
  <c r="O153" i="37"/>
  <c r="P153" i="37"/>
  <c r="Q153" i="37"/>
  <c r="R153" i="37"/>
  <c r="S153" i="37"/>
  <c r="T153" i="37"/>
  <c r="U153" i="37"/>
  <c r="V153" i="37"/>
  <c r="W153" i="37"/>
  <c r="X153" i="37"/>
  <c r="Y153" i="37"/>
  <c r="Z153" i="37"/>
  <c r="AA153" i="37"/>
  <c r="D154" i="37"/>
  <c r="C154" i="37" s="1"/>
  <c r="C153" i="37" s="1"/>
  <c r="H788" i="38"/>
  <c r="I788" i="38"/>
  <c r="J788" i="38"/>
  <c r="D123" i="39" s="1"/>
  <c r="N788" i="38"/>
  <c r="O788" i="38"/>
  <c r="G788" i="38"/>
  <c r="C123" i="39" s="1"/>
  <c r="K789" i="38"/>
  <c r="K788" i="38" s="1"/>
  <c r="F123" i="39" s="1"/>
  <c r="M792" i="38"/>
  <c r="L792" i="38"/>
  <c r="M404" i="38"/>
  <c r="L404" i="38"/>
  <c r="O404" i="38"/>
  <c r="Q404" i="38"/>
  <c r="P404" i="38"/>
  <c r="H404" i="38"/>
  <c r="I404" i="38"/>
  <c r="J404" i="38"/>
  <c r="D90" i="39" s="1"/>
  <c r="K404" i="38"/>
  <c r="F90" i="39" s="1"/>
  <c r="N404" i="38"/>
  <c r="G404" i="38"/>
  <c r="C90" i="39" s="1"/>
  <c r="H282" i="38"/>
  <c r="I282" i="38"/>
  <c r="J282" i="38"/>
  <c r="D61" i="39" s="1"/>
  <c r="N282" i="38"/>
  <c r="G282" i="38"/>
  <c r="C61" i="39" s="1"/>
  <c r="K283" i="38"/>
  <c r="K282" i="38" s="1"/>
  <c r="F61" i="39" s="1"/>
  <c r="H146" i="38"/>
  <c r="I146" i="38"/>
  <c r="J146" i="38"/>
  <c r="D33" i="39" s="1"/>
  <c r="K146" i="38"/>
  <c r="F33" i="39" s="1"/>
  <c r="L146" i="38"/>
  <c r="L156" i="38" s="1"/>
  <c r="M146" i="38"/>
  <c r="M156" i="38" s="1"/>
  <c r="N146" i="38"/>
  <c r="O146" i="38"/>
  <c r="P146" i="38"/>
  <c r="Q146" i="38"/>
  <c r="Q156" i="38" s="1"/>
  <c r="G146" i="38"/>
  <c r="C33" i="39" s="1"/>
  <c r="E767" i="37"/>
  <c r="F767" i="37"/>
  <c r="G767" i="37"/>
  <c r="H767" i="37"/>
  <c r="I767" i="37"/>
  <c r="J767" i="37"/>
  <c r="K767" i="37"/>
  <c r="L767" i="37"/>
  <c r="M767" i="37"/>
  <c r="N767" i="37"/>
  <c r="O767" i="37"/>
  <c r="P767" i="37"/>
  <c r="Q767" i="37"/>
  <c r="R767" i="37"/>
  <c r="S767" i="37"/>
  <c r="T767" i="37"/>
  <c r="U767" i="37"/>
  <c r="V767" i="37"/>
  <c r="W767" i="37"/>
  <c r="X767" i="37"/>
  <c r="Y767" i="37"/>
  <c r="C775" i="37" s="1"/>
  <c r="C774" i="37" s="1"/>
  <c r="Z767" i="37"/>
  <c r="AA767" i="37"/>
  <c r="D768" i="37"/>
  <c r="C768" i="37" s="1"/>
  <c r="C767" i="37" s="1"/>
  <c r="O792" i="38"/>
  <c r="H792" i="38"/>
  <c r="I792" i="38"/>
  <c r="J792" i="38"/>
  <c r="D125" i="39" s="1"/>
  <c r="K792" i="38"/>
  <c r="F125" i="39" s="1"/>
  <c r="N792" i="38"/>
  <c r="G792" i="38"/>
  <c r="C125" i="39" s="1"/>
  <c r="H284" i="38"/>
  <c r="I284" i="38"/>
  <c r="J284" i="38"/>
  <c r="D62" i="39" s="1"/>
  <c r="N284" i="38"/>
  <c r="G284" i="38"/>
  <c r="C62" i="39" s="1"/>
  <c r="K285" i="38"/>
  <c r="K284" i="38" s="1"/>
  <c r="F62" i="39" s="1"/>
  <c r="D739" i="37"/>
  <c r="E739" i="37"/>
  <c r="F739" i="37"/>
  <c r="G739" i="37"/>
  <c r="H739" i="37"/>
  <c r="I739" i="37"/>
  <c r="J739" i="37"/>
  <c r="K739" i="37"/>
  <c r="L739" i="37"/>
  <c r="M739" i="37"/>
  <c r="N739" i="37"/>
  <c r="O739" i="37"/>
  <c r="P739" i="37"/>
  <c r="Q739" i="37"/>
  <c r="R739" i="37"/>
  <c r="S739" i="37"/>
  <c r="T739" i="37"/>
  <c r="U739" i="37"/>
  <c r="V739" i="37"/>
  <c r="W739" i="37"/>
  <c r="X739" i="37"/>
  <c r="Y739" i="37"/>
  <c r="Z739" i="37"/>
  <c r="AA739" i="37"/>
  <c r="C740" i="37"/>
  <c r="C739" i="37" s="1"/>
  <c r="E369" i="37"/>
  <c r="F369" i="37"/>
  <c r="G369" i="37"/>
  <c r="H369" i="37"/>
  <c r="I369" i="37"/>
  <c r="J369" i="37"/>
  <c r="K369" i="37"/>
  <c r="L369" i="37"/>
  <c r="M369" i="37"/>
  <c r="N369" i="37"/>
  <c r="O369" i="37"/>
  <c r="P369" i="37"/>
  <c r="Q369" i="37"/>
  <c r="R369" i="37"/>
  <c r="S369" i="37"/>
  <c r="T369" i="37"/>
  <c r="U369" i="37"/>
  <c r="V369" i="37"/>
  <c r="W369" i="37"/>
  <c r="X369" i="37"/>
  <c r="Y369" i="37"/>
  <c r="Z369" i="37"/>
  <c r="AA369" i="37"/>
  <c r="D370" i="37"/>
  <c r="C370" i="37" s="1"/>
  <c r="C369" i="37" s="1"/>
  <c r="H764" i="38"/>
  <c r="I764" i="38"/>
  <c r="J764" i="38"/>
  <c r="D120" i="39" s="1"/>
  <c r="K764" i="38"/>
  <c r="F120" i="39" s="1"/>
  <c r="L764" i="38"/>
  <c r="M764" i="38"/>
  <c r="N764" i="38"/>
  <c r="O764" i="38"/>
  <c r="G764" i="38"/>
  <c r="C120" i="39" s="1"/>
  <c r="N393" i="38"/>
  <c r="M393" i="38"/>
  <c r="L393" i="38"/>
  <c r="Q393" i="38"/>
  <c r="P393" i="38"/>
  <c r="O393" i="38"/>
  <c r="H393" i="38"/>
  <c r="I393" i="38"/>
  <c r="J393" i="38"/>
  <c r="D88" i="39" s="1"/>
  <c r="K393" i="38"/>
  <c r="F88" i="39" s="1"/>
  <c r="G393" i="38"/>
  <c r="C88" i="39" s="1"/>
  <c r="E557" i="37"/>
  <c r="F557" i="37"/>
  <c r="G557" i="37"/>
  <c r="H557" i="37"/>
  <c r="I557" i="37"/>
  <c r="J557" i="37"/>
  <c r="K557" i="37"/>
  <c r="L557" i="37"/>
  <c r="M557" i="37"/>
  <c r="N557" i="37"/>
  <c r="O557" i="37"/>
  <c r="P557" i="37"/>
  <c r="Q557" i="37"/>
  <c r="R557" i="37"/>
  <c r="S557" i="37"/>
  <c r="T557" i="37"/>
  <c r="U557" i="37"/>
  <c r="V557" i="37"/>
  <c r="W557" i="37"/>
  <c r="X557" i="37"/>
  <c r="Y557" i="37"/>
  <c r="Z557" i="37"/>
  <c r="AA557" i="37"/>
  <c r="D562" i="37"/>
  <c r="C562" i="37" s="1"/>
  <c r="D561" i="37"/>
  <c r="C561" i="37" s="1"/>
  <c r="D560" i="37"/>
  <c r="C560" i="37" s="1"/>
  <c r="D559" i="37"/>
  <c r="C559" i="37" s="1"/>
  <c r="D558" i="37"/>
  <c r="C558" i="37" s="1"/>
  <c r="E305" i="37"/>
  <c r="F305" i="37"/>
  <c r="G305" i="37"/>
  <c r="H305" i="37"/>
  <c r="I305" i="37"/>
  <c r="J305" i="37"/>
  <c r="K305" i="37"/>
  <c r="L305" i="37"/>
  <c r="M305" i="37"/>
  <c r="N305" i="37"/>
  <c r="O305" i="37"/>
  <c r="P305" i="37"/>
  <c r="Q305" i="37"/>
  <c r="R305" i="37"/>
  <c r="S305" i="37"/>
  <c r="T305" i="37"/>
  <c r="U305" i="37"/>
  <c r="V305" i="37"/>
  <c r="W305" i="37"/>
  <c r="X305" i="37"/>
  <c r="Y305" i="37"/>
  <c r="Z305" i="37"/>
  <c r="AA305" i="37"/>
  <c r="C308" i="37"/>
  <c r="D307" i="37"/>
  <c r="C307" i="37"/>
  <c r="D306" i="37"/>
  <c r="C306" i="37"/>
  <c r="E195" i="37"/>
  <c r="F195" i="37"/>
  <c r="G195" i="37"/>
  <c r="H195" i="37"/>
  <c r="I195" i="37"/>
  <c r="J195" i="37"/>
  <c r="K195" i="37"/>
  <c r="L195" i="37"/>
  <c r="M195" i="37"/>
  <c r="N195" i="37"/>
  <c r="O195" i="37"/>
  <c r="P195" i="37"/>
  <c r="Q195" i="37"/>
  <c r="R195" i="37"/>
  <c r="S195" i="37"/>
  <c r="T195" i="37"/>
  <c r="U195" i="37"/>
  <c r="V195" i="37"/>
  <c r="W195" i="37"/>
  <c r="X195" i="37"/>
  <c r="Y195" i="37"/>
  <c r="Z195" i="37"/>
  <c r="AA195" i="37"/>
  <c r="D198" i="37"/>
  <c r="C198" i="37" s="1"/>
  <c r="D197" i="37"/>
  <c r="C197" i="37" s="1"/>
  <c r="D196" i="37"/>
  <c r="D199" i="37"/>
  <c r="C199" i="37" s="1"/>
  <c r="C196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D39" i="37"/>
  <c r="C39" i="37" s="1"/>
  <c r="D38" i="37"/>
  <c r="D37" i="37"/>
  <c r="D36" i="37"/>
  <c r="D35" i="37"/>
  <c r="D34" i="37"/>
  <c r="D33" i="37"/>
  <c r="D32" i="37"/>
  <c r="C38" i="37"/>
  <c r="C37" i="37"/>
  <c r="C36" i="37"/>
  <c r="C35" i="37"/>
  <c r="C34" i="37"/>
  <c r="C33" i="37"/>
  <c r="C32" i="37"/>
  <c r="H589" i="38"/>
  <c r="I589" i="38"/>
  <c r="J589" i="38"/>
  <c r="D101" i="39" s="1"/>
  <c r="K589" i="38"/>
  <c r="F101" i="39" s="1"/>
  <c r="N589" i="38"/>
  <c r="G589" i="38"/>
  <c r="C101" i="39" s="1"/>
  <c r="Q329" i="38"/>
  <c r="P329" i="38"/>
  <c r="O329" i="38"/>
  <c r="M320" i="38"/>
  <c r="L320" i="38"/>
  <c r="M329" i="38"/>
  <c r="L329" i="38"/>
  <c r="H329" i="38"/>
  <c r="I329" i="38"/>
  <c r="J329" i="38"/>
  <c r="D73" i="39" s="1"/>
  <c r="K329" i="38"/>
  <c r="F73" i="39" s="1"/>
  <c r="N329" i="38"/>
  <c r="G329" i="38"/>
  <c r="C73" i="39" s="1"/>
  <c r="H211" i="38"/>
  <c r="I211" i="38"/>
  <c r="J211" i="38"/>
  <c r="D44" i="39" s="1"/>
  <c r="K211" i="38"/>
  <c r="F44" i="39" s="1"/>
  <c r="L211" i="38"/>
  <c r="M211" i="38"/>
  <c r="N211" i="38"/>
  <c r="O211" i="38"/>
  <c r="P211" i="38"/>
  <c r="Q211" i="38"/>
  <c r="G211" i="38"/>
  <c r="C44" i="39" s="1"/>
  <c r="L39" i="38"/>
  <c r="M39" i="38"/>
  <c r="O39" i="38"/>
  <c r="Q39" i="38"/>
  <c r="P39" i="38"/>
  <c r="H39" i="38"/>
  <c r="I39" i="38"/>
  <c r="J39" i="38"/>
  <c r="K39" i="38"/>
  <c r="F14" i="39" s="1"/>
  <c r="G39" i="38"/>
  <c r="N47" i="38"/>
  <c r="N39" i="38" s="1"/>
  <c r="K117" i="37"/>
  <c r="L117" i="37"/>
  <c r="M117" i="37"/>
  <c r="N117" i="37"/>
  <c r="O117" i="37"/>
  <c r="P117" i="37"/>
  <c r="Q117" i="37"/>
  <c r="R117" i="37"/>
  <c r="S117" i="37"/>
  <c r="T117" i="37"/>
  <c r="U117" i="37"/>
  <c r="V117" i="37"/>
  <c r="W117" i="37"/>
  <c r="X117" i="37"/>
  <c r="Y117" i="37"/>
  <c r="Z117" i="37"/>
  <c r="AA117" i="37"/>
  <c r="E117" i="37"/>
  <c r="F117" i="37"/>
  <c r="G117" i="37"/>
  <c r="H117" i="37"/>
  <c r="I117" i="37"/>
  <c r="J117" i="37"/>
  <c r="D118" i="37"/>
  <c r="D117" i="37" s="1"/>
  <c r="E163" i="37"/>
  <c r="F163" i="37"/>
  <c r="G163" i="37"/>
  <c r="H163" i="37"/>
  <c r="I163" i="37"/>
  <c r="J163" i="37"/>
  <c r="H125" i="38"/>
  <c r="I125" i="38"/>
  <c r="J125" i="38"/>
  <c r="D29" i="39" s="1"/>
  <c r="K125" i="38"/>
  <c r="F29" i="39" s="1"/>
  <c r="N125" i="38"/>
  <c r="G125" i="38"/>
  <c r="C29" i="39" s="1"/>
  <c r="K163" i="37"/>
  <c r="L163" i="37"/>
  <c r="M163" i="37"/>
  <c r="N163" i="37"/>
  <c r="O163" i="37"/>
  <c r="P163" i="37"/>
  <c r="Q163" i="37"/>
  <c r="R163" i="37"/>
  <c r="S163" i="37"/>
  <c r="T163" i="37"/>
  <c r="U163" i="37"/>
  <c r="V163" i="37"/>
  <c r="W163" i="37"/>
  <c r="X163" i="37"/>
  <c r="Y163" i="37"/>
  <c r="C172" i="37" s="1"/>
  <c r="C167" i="37" s="1"/>
  <c r="Z163" i="37"/>
  <c r="AA163" i="37"/>
  <c r="D165" i="37"/>
  <c r="D166" i="37"/>
  <c r="C166" i="37" s="1"/>
  <c r="D164" i="37"/>
  <c r="C164" i="37" s="1"/>
  <c r="P156" i="38"/>
  <c r="O156" i="38"/>
  <c r="H156" i="38"/>
  <c r="I156" i="38"/>
  <c r="J156" i="38"/>
  <c r="D36" i="39" s="1"/>
  <c r="N156" i="38"/>
  <c r="G156" i="38"/>
  <c r="C36" i="39" s="1"/>
  <c r="K158" i="38"/>
  <c r="E615" i="37"/>
  <c r="F615" i="37"/>
  <c r="G615" i="37"/>
  <c r="H615" i="37"/>
  <c r="I615" i="37"/>
  <c r="J615" i="37"/>
  <c r="K615" i="37"/>
  <c r="L615" i="37"/>
  <c r="M615" i="37"/>
  <c r="N615" i="37"/>
  <c r="O615" i="37"/>
  <c r="P615" i="37"/>
  <c r="Q615" i="37"/>
  <c r="R615" i="37"/>
  <c r="S615" i="37"/>
  <c r="T615" i="37"/>
  <c r="U615" i="37"/>
  <c r="V615" i="37"/>
  <c r="W615" i="37"/>
  <c r="X615" i="37"/>
  <c r="Y615" i="37"/>
  <c r="Z615" i="37"/>
  <c r="AA615" i="37"/>
  <c r="E528" i="37"/>
  <c r="F528" i="37"/>
  <c r="G528" i="37"/>
  <c r="H528" i="37"/>
  <c r="I528" i="37"/>
  <c r="J528" i="37"/>
  <c r="K528" i="37"/>
  <c r="L528" i="37"/>
  <c r="M528" i="37"/>
  <c r="N528" i="37"/>
  <c r="O528" i="37"/>
  <c r="P528" i="37"/>
  <c r="Q528" i="37"/>
  <c r="R528" i="37"/>
  <c r="S528" i="37"/>
  <c r="T528" i="37"/>
  <c r="U528" i="37"/>
  <c r="V528" i="37"/>
  <c r="W528" i="37"/>
  <c r="X528" i="37"/>
  <c r="Y528" i="37"/>
  <c r="Z528" i="37"/>
  <c r="AA528" i="37"/>
  <c r="D617" i="37"/>
  <c r="C617" i="37" s="1"/>
  <c r="D618" i="37"/>
  <c r="C618" i="37" s="1"/>
  <c r="D619" i="37"/>
  <c r="C619" i="37" s="1"/>
  <c r="D616" i="37"/>
  <c r="C616" i="37" s="1"/>
  <c r="E323" i="37"/>
  <c r="F323" i="37"/>
  <c r="G323" i="37"/>
  <c r="H323" i="37"/>
  <c r="I323" i="37"/>
  <c r="J323" i="37"/>
  <c r="K323" i="37"/>
  <c r="L323" i="37"/>
  <c r="M323" i="37"/>
  <c r="N323" i="37"/>
  <c r="O323" i="37"/>
  <c r="P323" i="37"/>
  <c r="Q323" i="37"/>
  <c r="R323" i="37"/>
  <c r="S323" i="37"/>
  <c r="T323" i="37"/>
  <c r="U323" i="37"/>
  <c r="V323" i="37"/>
  <c r="W323" i="37"/>
  <c r="X323" i="37"/>
  <c r="Y323" i="37"/>
  <c r="Z323" i="37"/>
  <c r="AA323" i="37"/>
  <c r="D324" i="37"/>
  <c r="C324" i="37" s="1"/>
  <c r="C323" i="37" s="1"/>
  <c r="E211" i="37"/>
  <c r="F211" i="37"/>
  <c r="G211" i="37"/>
  <c r="H211" i="37"/>
  <c r="I211" i="37"/>
  <c r="J211" i="37"/>
  <c r="K211" i="37"/>
  <c r="L211" i="37"/>
  <c r="M211" i="37"/>
  <c r="N211" i="37"/>
  <c r="O211" i="37"/>
  <c r="P211" i="37"/>
  <c r="Q211" i="37"/>
  <c r="R211" i="37"/>
  <c r="S211" i="37"/>
  <c r="T211" i="37"/>
  <c r="U211" i="37"/>
  <c r="V211" i="37"/>
  <c r="W211" i="37"/>
  <c r="X211" i="37"/>
  <c r="Y211" i="37"/>
  <c r="Z211" i="37"/>
  <c r="AA211" i="37"/>
  <c r="D212" i="37"/>
  <c r="D211" i="37" s="1"/>
  <c r="E62" i="37"/>
  <c r="F62" i="37"/>
  <c r="G62" i="37"/>
  <c r="H62" i="37"/>
  <c r="I62" i="37"/>
  <c r="J62" i="37"/>
  <c r="K62" i="37"/>
  <c r="L62" i="37"/>
  <c r="M62" i="37"/>
  <c r="N62" i="37"/>
  <c r="O62" i="37"/>
  <c r="P62" i="37"/>
  <c r="Q62" i="37"/>
  <c r="R62" i="37"/>
  <c r="S62" i="37"/>
  <c r="T62" i="37"/>
  <c r="U62" i="37"/>
  <c r="V62" i="37"/>
  <c r="W62" i="37"/>
  <c r="X62" i="37"/>
  <c r="Y62" i="37"/>
  <c r="Z62" i="37"/>
  <c r="AA62" i="37"/>
  <c r="D63" i="37"/>
  <c r="C63" i="37" s="1"/>
  <c r="C62" i="37" s="1"/>
  <c r="H647" i="38"/>
  <c r="I647" i="38"/>
  <c r="J647" i="38"/>
  <c r="D106" i="39" s="1"/>
  <c r="N647" i="38"/>
  <c r="O647" i="38"/>
  <c r="G647" i="38"/>
  <c r="C106" i="39" s="1"/>
  <c r="K651" i="38"/>
  <c r="K650" i="38"/>
  <c r="K649" i="38"/>
  <c r="K648" i="38"/>
  <c r="H347" i="38"/>
  <c r="I347" i="38"/>
  <c r="J347" i="38"/>
  <c r="D77" i="39" s="1"/>
  <c r="L347" i="38"/>
  <c r="M347" i="38"/>
  <c r="N347" i="38"/>
  <c r="O347" i="38"/>
  <c r="P347" i="38"/>
  <c r="Q347" i="38"/>
  <c r="G347" i="38"/>
  <c r="C77" i="39" s="1"/>
  <c r="K348" i="38"/>
  <c r="K347" i="38" s="1"/>
  <c r="F77" i="39" s="1"/>
  <c r="H227" i="38"/>
  <c r="I227" i="38"/>
  <c r="J227" i="38"/>
  <c r="D48" i="39" s="1"/>
  <c r="K227" i="38"/>
  <c r="F48" i="39" s="1"/>
  <c r="N227" i="38"/>
  <c r="G227" i="38"/>
  <c r="C48" i="39" s="1"/>
  <c r="H70" i="38"/>
  <c r="I70" i="38"/>
  <c r="J70" i="38"/>
  <c r="D19" i="39" s="1"/>
  <c r="N70" i="38"/>
  <c r="O70" i="38"/>
  <c r="P70" i="38"/>
  <c r="Q70" i="38"/>
  <c r="G70" i="38"/>
  <c r="C19" i="39" s="1"/>
  <c r="K71" i="38"/>
  <c r="K70" i="38" s="1"/>
  <c r="F19" i="39" s="1"/>
  <c r="M423" i="38" l="1"/>
  <c r="M421" i="38" s="1"/>
  <c r="C14" i="39"/>
  <c r="P194" i="38"/>
  <c r="P192" i="38" s="1"/>
  <c r="L194" i="38"/>
  <c r="L192" i="38" s="1"/>
  <c r="L423" i="38"/>
  <c r="L421" i="38" s="1"/>
  <c r="D14" i="39"/>
  <c r="O194" i="38"/>
  <c r="O192" i="38" s="1"/>
  <c r="M127" i="38"/>
  <c r="M125" i="38" s="1"/>
  <c r="L127" i="38"/>
  <c r="L125" i="38" s="1"/>
  <c r="Q127" i="38"/>
  <c r="Q125" i="38" s="1"/>
  <c r="P127" i="38"/>
  <c r="P125" i="38" s="1"/>
  <c r="O127" i="38"/>
  <c r="O125" i="38" s="1"/>
  <c r="C305" i="37"/>
  <c r="D153" i="37"/>
  <c r="C381" i="37"/>
  <c r="C380" i="37" s="1"/>
  <c r="D767" i="37"/>
  <c r="D195" i="37"/>
  <c r="C212" i="37"/>
  <c r="C211" i="37" s="1"/>
  <c r="D305" i="37"/>
  <c r="C195" i="37"/>
  <c r="C118" i="37"/>
  <c r="C117" i="37" s="1"/>
  <c r="D369" i="37"/>
  <c r="D266" i="37"/>
  <c r="D557" i="37"/>
  <c r="D763" i="37"/>
  <c r="D615" i="37"/>
  <c r="C615" i="37"/>
  <c r="C557" i="37"/>
  <c r="C31" i="37"/>
  <c r="D31" i="37"/>
  <c r="D163" i="37"/>
  <c r="C165" i="37"/>
  <c r="C163" i="37" s="1"/>
  <c r="K156" i="38"/>
  <c r="F36" i="39" s="1"/>
  <c r="D62" i="37"/>
  <c r="D323" i="37"/>
  <c r="K647" i="38"/>
  <c r="F106" i="39" s="1"/>
  <c r="E699" i="37" l="1"/>
  <c r="G699" i="37"/>
  <c r="H699" i="37"/>
  <c r="I699" i="37"/>
  <c r="J699" i="37"/>
  <c r="K699" i="37"/>
  <c r="M699" i="37"/>
  <c r="N699" i="37"/>
  <c r="O699" i="37"/>
  <c r="P699" i="37"/>
  <c r="Q699" i="37"/>
  <c r="R699" i="37"/>
  <c r="S699" i="37"/>
  <c r="T699" i="37"/>
  <c r="U699" i="37"/>
  <c r="V699" i="37"/>
  <c r="W699" i="37"/>
  <c r="X699" i="37"/>
  <c r="Y699" i="37"/>
  <c r="AA699" i="37"/>
  <c r="D714" i="37"/>
  <c r="C714" i="37" s="1"/>
  <c r="D713" i="37"/>
  <c r="Z712" i="37"/>
  <c r="L712" i="37"/>
  <c r="L699" i="37" s="1"/>
  <c r="F712" i="37"/>
  <c r="F699" i="37" s="1"/>
  <c r="D711" i="37"/>
  <c r="C711" i="37" s="1"/>
  <c r="D709" i="37"/>
  <c r="C709" i="37" s="1"/>
  <c r="D708" i="37"/>
  <c r="C708" i="37" s="1"/>
  <c r="D706" i="37"/>
  <c r="C706" i="37" s="1"/>
  <c r="D705" i="37"/>
  <c r="C705" i="37" s="1"/>
  <c r="D704" i="37"/>
  <c r="C704" i="37" s="1"/>
  <c r="D703" i="37"/>
  <c r="C703" i="37" s="1"/>
  <c r="Z702" i="37"/>
  <c r="D702" i="37"/>
  <c r="D701" i="37"/>
  <c r="C701" i="37" s="1"/>
  <c r="D700" i="37"/>
  <c r="E358" i="37"/>
  <c r="F358" i="37"/>
  <c r="G358" i="37"/>
  <c r="H358" i="37"/>
  <c r="I358" i="37"/>
  <c r="J358" i="37"/>
  <c r="K358" i="37"/>
  <c r="L358" i="37"/>
  <c r="M358" i="37"/>
  <c r="N358" i="37"/>
  <c r="Q358" i="37"/>
  <c r="R358" i="37"/>
  <c r="S358" i="37"/>
  <c r="T358" i="37"/>
  <c r="U358" i="37"/>
  <c r="V358" i="37"/>
  <c r="W358" i="37"/>
  <c r="X358" i="37"/>
  <c r="Y358" i="37"/>
  <c r="AA358" i="37"/>
  <c r="D361" i="37"/>
  <c r="C361" i="37" s="1"/>
  <c r="D360" i="37"/>
  <c r="C360" i="37" s="1"/>
  <c r="D359" i="37"/>
  <c r="C359" i="37" s="1"/>
  <c r="H245" i="37"/>
  <c r="I245" i="37"/>
  <c r="J245" i="37"/>
  <c r="K245" i="37"/>
  <c r="K178" i="37" s="1"/>
  <c r="L245" i="37"/>
  <c r="M245" i="37"/>
  <c r="M178" i="37" s="1"/>
  <c r="N245" i="37"/>
  <c r="O245" i="37"/>
  <c r="P245" i="37"/>
  <c r="Q245" i="37"/>
  <c r="R245" i="37"/>
  <c r="S245" i="37"/>
  <c r="T245" i="37"/>
  <c r="U245" i="37"/>
  <c r="V245" i="37"/>
  <c r="W245" i="37"/>
  <c r="X245" i="37"/>
  <c r="Y245" i="37"/>
  <c r="AA245" i="37"/>
  <c r="G247" i="37"/>
  <c r="F247" i="37" s="1"/>
  <c r="E247" i="37" s="1"/>
  <c r="D247" i="37" s="1"/>
  <c r="C247" i="37" s="1"/>
  <c r="D246" i="37"/>
  <c r="G248" i="37"/>
  <c r="F248" i="37" s="1"/>
  <c r="E248" i="37" s="1"/>
  <c r="D248" i="37" s="1"/>
  <c r="C248" i="37" s="1"/>
  <c r="Z246" i="37"/>
  <c r="Z245" i="37" s="1"/>
  <c r="E110" i="37"/>
  <c r="F110" i="37"/>
  <c r="G110" i="37"/>
  <c r="H110" i="37"/>
  <c r="I110" i="37"/>
  <c r="J110" i="37"/>
  <c r="K110" i="37"/>
  <c r="L110" i="37"/>
  <c r="M110" i="37"/>
  <c r="N110" i="37"/>
  <c r="O110" i="37"/>
  <c r="P110" i="37"/>
  <c r="Q110" i="37"/>
  <c r="R110" i="37"/>
  <c r="S110" i="37"/>
  <c r="T110" i="37"/>
  <c r="U110" i="37"/>
  <c r="V110" i="37"/>
  <c r="W110" i="37"/>
  <c r="X110" i="37"/>
  <c r="Y110" i="37"/>
  <c r="Z110" i="37"/>
  <c r="AA110" i="37"/>
  <c r="D113" i="37"/>
  <c r="C113" i="37" s="1"/>
  <c r="D112" i="37"/>
  <c r="C112" i="37" s="1"/>
  <c r="D111" i="37"/>
  <c r="C111" i="37" s="1"/>
  <c r="D712" i="37" l="1"/>
  <c r="C712" i="37" s="1"/>
  <c r="C358" i="37"/>
  <c r="C713" i="37"/>
  <c r="C702" i="37"/>
  <c r="Z699" i="37"/>
  <c r="C246" i="37"/>
  <c r="C245" i="37" s="1"/>
  <c r="C110" i="37"/>
  <c r="F245" i="37"/>
  <c r="G245" i="37"/>
  <c r="E245" i="37"/>
  <c r="D358" i="37"/>
  <c r="C700" i="37"/>
  <c r="D245" i="37"/>
  <c r="D110" i="37"/>
  <c r="D699" i="37" l="1"/>
  <c r="C699" i="37"/>
  <c r="H731" i="38"/>
  <c r="I731" i="38"/>
  <c r="J731" i="38"/>
  <c r="D115" i="39" s="1"/>
  <c r="N731" i="38"/>
  <c r="O731" i="38"/>
  <c r="G731" i="38"/>
  <c r="C115" i="39" s="1"/>
  <c r="K746" i="38"/>
  <c r="K744" i="38"/>
  <c r="K743" i="38"/>
  <c r="K741" i="38" l="1"/>
  <c r="K740" i="38"/>
  <c r="K737" i="38"/>
  <c r="K736" i="38" l="1"/>
  <c r="K735" i="38"/>
  <c r="K734" i="38"/>
  <c r="K733" i="38"/>
  <c r="K732" i="38"/>
  <c r="K384" i="38"/>
  <c r="K385" i="38"/>
  <c r="K383" i="38"/>
  <c r="H261" i="38"/>
  <c r="I261" i="38"/>
  <c r="J261" i="38"/>
  <c r="D56" i="39" s="1"/>
  <c r="N261" i="38"/>
  <c r="G261" i="38"/>
  <c r="C56" i="39" s="1"/>
  <c r="K264" i="38"/>
  <c r="K263" i="38"/>
  <c r="K262" i="38"/>
  <c r="H118" i="38"/>
  <c r="I118" i="38"/>
  <c r="J118" i="38"/>
  <c r="D27" i="39" s="1"/>
  <c r="N118" i="38"/>
  <c r="G118" i="38"/>
  <c r="C27" i="39" s="1"/>
  <c r="K120" i="38"/>
  <c r="K121" i="38"/>
  <c r="K119" i="38"/>
  <c r="E622" i="37"/>
  <c r="F622" i="37"/>
  <c r="G622" i="37"/>
  <c r="H622" i="37"/>
  <c r="I622" i="37"/>
  <c r="J622" i="37"/>
  <c r="K622" i="37"/>
  <c r="L622" i="37"/>
  <c r="M622" i="37"/>
  <c r="N622" i="37"/>
  <c r="O622" i="37"/>
  <c r="P622" i="37"/>
  <c r="Q622" i="37"/>
  <c r="R622" i="37"/>
  <c r="S622" i="37"/>
  <c r="T622" i="37"/>
  <c r="U622" i="37"/>
  <c r="V622" i="37"/>
  <c r="W622" i="37"/>
  <c r="X622" i="37"/>
  <c r="Y622" i="37"/>
  <c r="Z622" i="37"/>
  <c r="AA622" i="37"/>
  <c r="D627" i="37"/>
  <c r="C627" i="37" s="1"/>
  <c r="D628" i="37"/>
  <c r="C628" i="37" s="1"/>
  <c r="D629" i="37"/>
  <c r="C629" i="37" s="1"/>
  <c r="D630" i="37"/>
  <c r="C630" i="37" s="1"/>
  <c r="D625" i="37"/>
  <c r="C625" i="37" s="1"/>
  <c r="D626" i="37"/>
  <c r="C626" i="37" s="1"/>
  <c r="D624" i="37"/>
  <c r="C624" i="37" s="1"/>
  <c r="D623" i="37"/>
  <c r="C623" i="37" s="1"/>
  <c r="E327" i="37"/>
  <c r="F327" i="37"/>
  <c r="G327" i="37"/>
  <c r="H327" i="37"/>
  <c r="I327" i="37"/>
  <c r="J327" i="37"/>
  <c r="K327" i="37"/>
  <c r="L327" i="37"/>
  <c r="M327" i="37"/>
  <c r="N327" i="37"/>
  <c r="O327" i="37"/>
  <c r="P327" i="37"/>
  <c r="Q327" i="37"/>
  <c r="R327" i="37"/>
  <c r="S327" i="37"/>
  <c r="T327" i="37"/>
  <c r="U327" i="37"/>
  <c r="V327" i="37"/>
  <c r="W327" i="37"/>
  <c r="X327" i="37"/>
  <c r="Y327" i="37"/>
  <c r="Z327" i="37"/>
  <c r="AA327" i="37"/>
  <c r="D329" i="37"/>
  <c r="C329" i="37" s="1"/>
  <c r="D328" i="37"/>
  <c r="C328" i="37" s="1"/>
  <c r="D219" i="37"/>
  <c r="C219" i="37" s="1"/>
  <c r="D218" i="37"/>
  <c r="C218" i="37" s="1"/>
  <c r="D217" i="37"/>
  <c r="C217" i="37" s="1"/>
  <c r="D216" i="37"/>
  <c r="E68" i="37"/>
  <c r="F68" i="37"/>
  <c r="G68" i="37"/>
  <c r="H68" i="37"/>
  <c r="I68" i="37"/>
  <c r="J68" i="37"/>
  <c r="K68" i="37"/>
  <c r="L68" i="37"/>
  <c r="M68" i="37"/>
  <c r="N68" i="37"/>
  <c r="O68" i="37"/>
  <c r="P68" i="37"/>
  <c r="Q68" i="37"/>
  <c r="R68" i="37"/>
  <c r="S68" i="37"/>
  <c r="T68" i="37"/>
  <c r="U68" i="37"/>
  <c r="V68" i="37"/>
  <c r="W68" i="37"/>
  <c r="X68" i="37"/>
  <c r="Y68" i="37"/>
  <c r="Z68" i="37"/>
  <c r="AA68" i="37"/>
  <c r="D77" i="37"/>
  <c r="D76" i="37"/>
  <c r="C76" i="37" s="1"/>
  <c r="D75" i="37"/>
  <c r="D74" i="37"/>
  <c r="C74" i="37" s="1"/>
  <c r="D73" i="37"/>
  <c r="D72" i="37"/>
  <c r="C72" i="37" s="1"/>
  <c r="D71" i="37"/>
  <c r="C71" i="37" s="1"/>
  <c r="D70" i="37"/>
  <c r="D69" i="37"/>
  <c r="C69" i="37" s="1"/>
  <c r="H654" i="38"/>
  <c r="I654" i="38"/>
  <c r="J654" i="38"/>
  <c r="D108" i="39" s="1"/>
  <c r="N654" i="38"/>
  <c r="G654" i="38"/>
  <c r="C108" i="39" s="1"/>
  <c r="K661" i="38"/>
  <c r="K659" i="38"/>
  <c r="K655" i="38"/>
  <c r="K656" i="38"/>
  <c r="Q351" i="38"/>
  <c r="P351" i="38"/>
  <c r="O351" i="38"/>
  <c r="M351" i="38"/>
  <c r="L351" i="38"/>
  <c r="H351" i="38"/>
  <c r="I351" i="38"/>
  <c r="J351" i="38"/>
  <c r="D79" i="39" s="1"/>
  <c r="N351" i="38"/>
  <c r="G351" i="38"/>
  <c r="C79" i="39" s="1"/>
  <c r="K352" i="38"/>
  <c r="K351" i="38" s="1"/>
  <c r="F79" i="39" s="1"/>
  <c r="Q227" i="38"/>
  <c r="Q218" i="38" s="1"/>
  <c r="K235" i="38"/>
  <c r="K234" i="38"/>
  <c r="K233" i="38"/>
  <c r="K232" i="38"/>
  <c r="Q194" i="38" l="1"/>
  <c r="Q192" i="38" s="1"/>
  <c r="K382" i="38"/>
  <c r="F85" i="39" s="1"/>
  <c r="C216" i="37"/>
  <c r="C215" i="37" s="1"/>
  <c r="D215" i="37"/>
  <c r="K231" i="38"/>
  <c r="F50" i="39" s="1"/>
  <c r="K654" i="38"/>
  <c r="F108" i="39" s="1"/>
  <c r="K261" i="38"/>
  <c r="F56" i="39" s="1"/>
  <c r="K731" i="38"/>
  <c r="F115" i="39" s="1"/>
  <c r="C622" i="37"/>
  <c r="D622" i="37"/>
  <c r="K118" i="38"/>
  <c r="F27" i="39" s="1"/>
  <c r="C327" i="37"/>
  <c r="D327" i="37"/>
  <c r="C68" i="37"/>
  <c r="D68" i="37"/>
  <c r="H76" i="38"/>
  <c r="I76" i="38"/>
  <c r="J76" i="38"/>
  <c r="L76" i="38"/>
  <c r="L70" i="38" s="1"/>
  <c r="M76" i="38"/>
  <c r="M70" i="38" s="1"/>
  <c r="N76" i="38"/>
  <c r="O76" i="38"/>
  <c r="P76" i="38"/>
  <c r="Q76" i="38"/>
  <c r="G76" i="38"/>
  <c r="K79" i="38"/>
  <c r="K78" i="38"/>
  <c r="K77" i="38"/>
  <c r="C21" i="39" l="1"/>
  <c r="D21" i="39"/>
  <c r="K76" i="38"/>
  <c r="F21" i="39" s="1"/>
  <c r="E391" i="37"/>
  <c r="G391" i="37"/>
  <c r="H391" i="37"/>
  <c r="I391" i="37"/>
  <c r="J391" i="37"/>
  <c r="K391" i="37"/>
  <c r="L391" i="37"/>
  <c r="M391" i="37"/>
  <c r="N391" i="37"/>
  <c r="Q391" i="37"/>
  <c r="R391" i="37"/>
  <c r="S391" i="37"/>
  <c r="T391" i="37"/>
  <c r="U391" i="37"/>
  <c r="V391" i="37"/>
  <c r="W391" i="37"/>
  <c r="X391" i="37"/>
  <c r="Y391" i="37"/>
  <c r="AA391" i="37"/>
  <c r="D698" i="37"/>
  <c r="E353" i="37"/>
  <c r="F353" i="37"/>
  <c r="G353" i="37"/>
  <c r="H353" i="37"/>
  <c r="I353" i="37"/>
  <c r="J353" i="37"/>
  <c r="K353" i="37"/>
  <c r="L353" i="37"/>
  <c r="M353" i="37"/>
  <c r="N353" i="37"/>
  <c r="O353" i="37"/>
  <c r="P353" i="37"/>
  <c r="Q353" i="37"/>
  <c r="R353" i="37"/>
  <c r="S353" i="37"/>
  <c r="T353" i="37"/>
  <c r="U353" i="37"/>
  <c r="V353" i="37"/>
  <c r="W353" i="37"/>
  <c r="X353" i="37"/>
  <c r="Y353" i="37"/>
  <c r="Z353" i="37"/>
  <c r="AA353" i="37"/>
  <c r="D354" i="37"/>
  <c r="C354" i="37" s="1"/>
  <c r="C353" i="37" s="1"/>
  <c r="K723" i="38"/>
  <c r="K722" i="38" s="1"/>
  <c r="F113" i="39" s="1"/>
  <c r="C698" i="37" l="1"/>
  <c r="C697" i="37" s="1"/>
  <c r="D697" i="37"/>
  <c r="D353" i="37"/>
  <c r="E321" i="37"/>
  <c r="F321" i="37"/>
  <c r="G321" i="37"/>
  <c r="H321" i="37"/>
  <c r="I321" i="37"/>
  <c r="J321" i="37"/>
  <c r="K321" i="37"/>
  <c r="L321" i="37"/>
  <c r="M321" i="37"/>
  <c r="N321" i="37"/>
  <c r="O321" i="37"/>
  <c r="P321" i="37"/>
  <c r="Q321" i="37"/>
  <c r="R321" i="37"/>
  <c r="S321" i="37"/>
  <c r="T321" i="37"/>
  <c r="U321" i="37"/>
  <c r="V321" i="37"/>
  <c r="W321" i="37"/>
  <c r="X321" i="37"/>
  <c r="Y321" i="37"/>
  <c r="Z321" i="37"/>
  <c r="AA321" i="37"/>
  <c r="F612" i="37"/>
  <c r="F391" i="37" s="1"/>
  <c r="O612" i="37"/>
  <c r="O391" i="37" s="1"/>
  <c r="P612" i="37"/>
  <c r="P391" i="37" s="1"/>
  <c r="Z612" i="37"/>
  <c r="Z391" i="37" s="1"/>
  <c r="D614" i="37"/>
  <c r="C614" i="37" s="1"/>
  <c r="D613" i="37"/>
  <c r="C613" i="37" s="1"/>
  <c r="H377" i="38"/>
  <c r="I377" i="38"/>
  <c r="J377" i="38"/>
  <c r="D83" i="39" s="1"/>
  <c r="L377" i="38"/>
  <c r="M377" i="38"/>
  <c r="N377" i="38"/>
  <c r="O377" i="38"/>
  <c r="P377" i="38"/>
  <c r="Q377" i="38"/>
  <c r="G377" i="38"/>
  <c r="C83" i="39" s="1"/>
  <c r="K378" i="38"/>
  <c r="K377" i="38" s="1"/>
  <c r="F83" i="39" s="1"/>
  <c r="D322" i="37"/>
  <c r="C322" i="37" s="1"/>
  <c r="C321" i="37" s="1"/>
  <c r="H644" i="38"/>
  <c r="I644" i="38"/>
  <c r="J644" i="38"/>
  <c r="D105" i="39" s="1"/>
  <c r="N644" i="38"/>
  <c r="G644" i="38"/>
  <c r="C105" i="39" s="1"/>
  <c r="K645" i="38"/>
  <c r="K644" i="38" s="1"/>
  <c r="F105" i="39" s="1"/>
  <c r="H345" i="38"/>
  <c r="I345" i="38"/>
  <c r="J345" i="38"/>
  <c r="D76" i="39" s="1"/>
  <c r="K345" i="38"/>
  <c r="F76" i="39" s="1"/>
  <c r="L345" i="38"/>
  <c r="M345" i="38"/>
  <c r="N345" i="38"/>
  <c r="O345" i="38"/>
  <c r="P345" i="38"/>
  <c r="Q345" i="38"/>
  <c r="G345" i="38"/>
  <c r="C76" i="39" s="1"/>
  <c r="D530" i="37"/>
  <c r="C530" i="37" s="1"/>
  <c r="D531" i="37"/>
  <c r="C531" i="37" s="1"/>
  <c r="D532" i="37"/>
  <c r="C532" i="37" s="1"/>
  <c r="D533" i="37"/>
  <c r="C533" i="37" s="1"/>
  <c r="D534" i="37"/>
  <c r="C534" i="37" s="1"/>
  <c r="C535" i="37"/>
  <c r="D536" i="37"/>
  <c r="C536" i="37" s="1"/>
  <c r="D529" i="37"/>
  <c r="E296" i="37"/>
  <c r="F296" i="37"/>
  <c r="G296" i="37"/>
  <c r="H296" i="37"/>
  <c r="I296" i="37"/>
  <c r="J296" i="37"/>
  <c r="K296" i="37"/>
  <c r="L296" i="37"/>
  <c r="M296" i="37"/>
  <c r="N296" i="37"/>
  <c r="O296" i="37"/>
  <c r="P296" i="37"/>
  <c r="Q296" i="37"/>
  <c r="R296" i="37"/>
  <c r="S296" i="37"/>
  <c r="T296" i="37"/>
  <c r="U296" i="37"/>
  <c r="V296" i="37"/>
  <c r="W296" i="37"/>
  <c r="X296" i="37"/>
  <c r="Y296" i="37"/>
  <c r="Z296" i="37"/>
  <c r="AA296" i="37"/>
  <c r="D298" i="37"/>
  <c r="C298" i="37" s="1"/>
  <c r="D299" i="37"/>
  <c r="C299" i="37" s="1"/>
  <c r="D300" i="37"/>
  <c r="C300" i="37" s="1"/>
  <c r="D297" i="37"/>
  <c r="C297" i="37" s="1"/>
  <c r="E273" i="37"/>
  <c r="E178" i="37" s="1"/>
  <c r="F273" i="37"/>
  <c r="F178" i="37" s="1"/>
  <c r="G273" i="37"/>
  <c r="G178" i="37" s="1"/>
  <c r="H273" i="37"/>
  <c r="H178" i="37" s="1"/>
  <c r="I273" i="37"/>
  <c r="I178" i="37" s="1"/>
  <c r="J273" i="37"/>
  <c r="J178" i="37" s="1"/>
  <c r="L273" i="37"/>
  <c r="L178" i="37" s="1"/>
  <c r="N273" i="37"/>
  <c r="N178" i="37" s="1"/>
  <c r="O273" i="37"/>
  <c r="O178" i="37" s="1"/>
  <c r="P273" i="37"/>
  <c r="P178" i="37" s="1"/>
  <c r="Q273" i="37"/>
  <c r="Q178" i="37" s="1"/>
  <c r="R273" i="37"/>
  <c r="R178" i="37" s="1"/>
  <c r="S273" i="37"/>
  <c r="S178" i="37" s="1"/>
  <c r="T273" i="37"/>
  <c r="T178" i="37" s="1"/>
  <c r="U273" i="37"/>
  <c r="U178" i="37" s="1"/>
  <c r="V273" i="37"/>
  <c r="V178" i="37" s="1"/>
  <c r="W273" i="37"/>
  <c r="W178" i="37" s="1"/>
  <c r="X273" i="37"/>
  <c r="X178" i="37" s="1"/>
  <c r="Y273" i="37"/>
  <c r="Y178" i="37" s="1"/>
  <c r="Z273" i="37"/>
  <c r="Z178" i="37" s="1"/>
  <c r="AA273" i="37"/>
  <c r="AA178" i="37" s="1"/>
  <c r="D276" i="37"/>
  <c r="C276" i="37" s="1"/>
  <c r="D277" i="37"/>
  <c r="C277" i="37" s="1"/>
  <c r="D278" i="37"/>
  <c r="C278" i="37" s="1"/>
  <c r="D275" i="37"/>
  <c r="C275" i="37" s="1"/>
  <c r="D274" i="37"/>
  <c r="C274" i="37" s="1"/>
  <c r="E160" i="37"/>
  <c r="E8" i="37" s="1"/>
  <c r="F160" i="37"/>
  <c r="F8" i="37" s="1"/>
  <c r="G160" i="37"/>
  <c r="G8" i="37" s="1"/>
  <c r="H160" i="37"/>
  <c r="H8" i="37" s="1"/>
  <c r="I160" i="37"/>
  <c r="I8" i="37" s="1"/>
  <c r="J160" i="37"/>
  <c r="J8" i="37" s="1"/>
  <c r="K160" i="37"/>
  <c r="K8" i="37" s="1"/>
  <c r="L160" i="37"/>
  <c r="L8" i="37" s="1"/>
  <c r="M160" i="37"/>
  <c r="M8" i="37" s="1"/>
  <c r="N160" i="37"/>
  <c r="N8" i="37" s="1"/>
  <c r="O160" i="37"/>
  <c r="O8" i="37" s="1"/>
  <c r="P160" i="37"/>
  <c r="P8" i="37" s="1"/>
  <c r="Q160" i="37"/>
  <c r="Q8" i="37" s="1"/>
  <c r="R160" i="37"/>
  <c r="R8" i="37" s="1"/>
  <c r="S160" i="37"/>
  <c r="S8" i="37" s="1"/>
  <c r="T160" i="37"/>
  <c r="T8" i="37" s="1"/>
  <c r="U160" i="37"/>
  <c r="U8" i="37" s="1"/>
  <c r="V160" i="37"/>
  <c r="V8" i="37" s="1"/>
  <c r="W160" i="37"/>
  <c r="W8" i="37" s="1"/>
  <c r="X160" i="37"/>
  <c r="X8" i="37" s="1"/>
  <c r="Y160" i="37"/>
  <c r="Y8" i="37" s="1"/>
  <c r="Z160" i="37"/>
  <c r="Z8" i="37" s="1"/>
  <c r="AA160" i="37"/>
  <c r="AA8" i="37" s="1"/>
  <c r="D162" i="37"/>
  <c r="C162" i="37" s="1"/>
  <c r="D161" i="37"/>
  <c r="H560" i="38"/>
  <c r="I560" i="38"/>
  <c r="J560" i="38"/>
  <c r="D97" i="39" s="1"/>
  <c r="N560" i="38"/>
  <c r="O560" i="38"/>
  <c r="G560" i="38"/>
  <c r="C97" i="39" s="1"/>
  <c r="C95" i="39" s="1"/>
  <c r="K566" i="38"/>
  <c r="K565" i="38"/>
  <c r="K564" i="38"/>
  <c r="K562" i="38"/>
  <c r="K561" i="38"/>
  <c r="H320" i="38"/>
  <c r="I320" i="38"/>
  <c r="J320" i="38"/>
  <c r="N320" i="38"/>
  <c r="O320" i="38"/>
  <c r="P320" i="38"/>
  <c r="Q320" i="38"/>
  <c r="G320" i="38"/>
  <c r="K324" i="38"/>
  <c r="K323" i="38"/>
  <c r="K322" i="38"/>
  <c r="K321" i="38"/>
  <c r="H289" i="38"/>
  <c r="I289" i="38"/>
  <c r="J289" i="38"/>
  <c r="J194" i="38" s="1"/>
  <c r="M289" i="38"/>
  <c r="N289" i="38"/>
  <c r="G289" i="38"/>
  <c r="G194" i="38" s="1"/>
  <c r="K292" i="38"/>
  <c r="K291" i="38"/>
  <c r="K290" i="38"/>
  <c r="K155" i="38"/>
  <c r="D35" i="39"/>
  <c r="K95" i="38"/>
  <c r="K94" i="38" s="1"/>
  <c r="N94" i="38"/>
  <c r="N16" i="38" s="1"/>
  <c r="O94" i="38"/>
  <c r="P94" i="38"/>
  <c r="Q94" i="38"/>
  <c r="M94" i="38"/>
  <c r="L94" i="38"/>
  <c r="J94" i="38"/>
  <c r="I94" i="38"/>
  <c r="I16" i="38" s="1"/>
  <c r="H94" i="38"/>
  <c r="H16" i="38" s="1"/>
  <c r="G94" i="38"/>
  <c r="AA286" i="37" l="1"/>
  <c r="W286" i="37"/>
  <c r="S286" i="37"/>
  <c r="O286" i="37"/>
  <c r="K286" i="37"/>
  <c r="G286" i="37"/>
  <c r="D95" i="39"/>
  <c r="Y286" i="37"/>
  <c r="U286" i="37"/>
  <c r="Q286" i="37"/>
  <c r="M286" i="37"/>
  <c r="I286" i="37"/>
  <c r="E286" i="37"/>
  <c r="X286" i="37"/>
  <c r="T286" i="37"/>
  <c r="P286" i="37"/>
  <c r="L286" i="37"/>
  <c r="H286" i="37"/>
  <c r="Z286" i="37"/>
  <c r="V286" i="37"/>
  <c r="R286" i="37"/>
  <c r="N286" i="37"/>
  <c r="J286" i="37"/>
  <c r="F286" i="37"/>
  <c r="O310" i="38"/>
  <c r="N310" i="38"/>
  <c r="N308" i="38" s="1"/>
  <c r="M310" i="38"/>
  <c r="M308" i="38" s="1"/>
  <c r="Q310" i="38"/>
  <c r="L310" i="38"/>
  <c r="L308" i="38" s="1"/>
  <c r="G310" i="38"/>
  <c r="G308" i="38" s="1"/>
  <c r="C70" i="39"/>
  <c r="C68" i="39" s="1"/>
  <c r="G423" i="38"/>
  <c r="G421" i="38" s="1"/>
  <c r="J308" i="38"/>
  <c r="D70" i="39"/>
  <c r="D68" i="39" s="1"/>
  <c r="M194" i="38"/>
  <c r="M192" i="38" s="1"/>
  <c r="N423" i="38"/>
  <c r="N421" i="38" s="1"/>
  <c r="N194" i="38"/>
  <c r="N192" i="38" s="1"/>
  <c r="H194" i="38"/>
  <c r="H192" i="38" s="1"/>
  <c r="H310" i="38"/>
  <c r="H308" i="38" s="1"/>
  <c r="O423" i="38"/>
  <c r="O421" i="38" s="1"/>
  <c r="H423" i="38"/>
  <c r="H421" i="38" s="1"/>
  <c r="D24" i="39"/>
  <c r="D9" i="39" s="1"/>
  <c r="J16" i="38"/>
  <c r="J14" i="38" s="1"/>
  <c r="C24" i="39"/>
  <c r="G16" i="38"/>
  <c r="G14" i="38" s="1"/>
  <c r="I194" i="38"/>
  <c r="I192" i="38" s="1"/>
  <c r="P310" i="38"/>
  <c r="P308" i="38" s="1"/>
  <c r="I310" i="38"/>
  <c r="I308" i="38" s="1"/>
  <c r="I423" i="38"/>
  <c r="I421" i="38" s="1"/>
  <c r="J423" i="38"/>
  <c r="J421" i="38" s="1"/>
  <c r="F24" i="39"/>
  <c r="O308" i="38"/>
  <c r="K153" i="38"/>
  <c r="F35" i="39" s="1"/>
  <c r="C35" i="39"/>
  <c r="G192" i="38"/>
  <c r="C64" i="39"/>
  <c r="C40" i="39" s="1"/>
  <c r="J192" i="38"/>
  <c r="D64" i="39"/>
  <c r="D40" i="39" s="1"/>
  <c r="D7" i="39" s="1"/>
  <c r="Q308" i="38"/>
  <c r="I14" i="38"/>
  <c r="N14" i="38"/>
  <c r="H14" i="38"/>
  <c r="L118" i="38"/>
  <c r="L90" i="38"/>
  <c r="P118" i="38"/>
  <c r="P90" i="38"/>
  <c r="Q118" i="38"/>
  <c r="Q90" i="38"/>
  <c r="M118" i="38"/>
  <c r="M90" i="38"/>
  <c r="O118" i="38"/>
  <c r="O90" i="38"/>
  <c r="C529" i="37"/>
  <c r="C528" i="37" s="1"/>
  <c r="D528" i="37"/>
  <c r="K320" i="38"/>
  <c r="F70" i="39" s="1"/>
  <c r="F68" i="39" s="1"/>
  <c r="D160" i="37"/>
  <c r="D8" i="37" s="1"/>
  <c r="K560" i="38"/>
  <c r="F97" i="39" s="1"/>
  <c r="F95" i="39" s="1"/>
  <c r="K289" i="38"/>
  <c r="K194" i="38" s="1"/>
  <c r="D321" i="37"/>
  <c r="D612" i="37"/>
  <c r="C612" i="37"/>
  <c r="C161" i="37"/>
  <c r="C160" i="37" s="1"/>
  <c r="C273" i="37"/>
  <c r="C178" i="37" s="1"/>
  <c r="D273" i="37"/>
  <c r="D178" i="37" s="1"/>
  <c r="C296" i="37"/>
  <c r="C286" i="37" s="1"/>
  <c r="D296" i="37"/>
  <c r="D286" i="37" l="1"/>
  <c r="C9" i="39"/>
  <c r="C7" i="39" s="1"/>
  <c r="F9" i="39"/>
  <c r="C391" i="37"/>
  <c r="D391" i="37"/>
  <c r="K423" i="38"/>
  <c r="K421" i="38" s="1"/>
  <c r="M16" i="38"/>
  <c r="M14" i="38" s="1"/>
  <c r="P16" i="38"/>
  <c r="P14" i="38" s="1"/>
  <c r="K310" i="38"/>
  <c r="K308" i="38" s="1"/>
  <c r="K16" i="38"/>
  <c r="K14" i="38" s="1"/>
  <c r="O16" i="38"/>
  <c r="O14" i="38" s="1"/>
  <c r="Q16" i="38"/>
  <c r="Q14" i="38" s="1"/>
  <c r="L16" i="38"/>
  <c r="L14" i="38" s="1"/>
  <c r="C8" i="37"/>
  <c r="K192" i="38"/>
  <c r="F64" i="39"/>
  <c r="F40" i="39" s="1"/>
  <c r="F7" i="39" l="1"/>
</calcChain>
</file>

<file path=xl/sharedStrings.xml><?xml version="1.0" encoding="utf-8"?>
<sst xmlns="http://schemas.openxmlformats.org/spreadsheetml/2006/main" count="2788" uniqueCount="896">
  <si>
    <t>№ п/п</t>
  </si>
  <si>
    <t>руб.</t>
  </si>
  <si>
    <t>кв. м</t>
  </si>
  <si>
    <t>Адрес МКД</t>
  </si>
  <si>
    <t>ед.</t>
  </si>
  <si>
    <t>куб. м</t>
  </si>
  <si>
    <t>газоснабжения</t>
  </si>
  <si>
    <t>водоотведения</t>
  </si>
  <si>
    <t>холодного водоснабжения</t>
  </si>
  <si>
    <t>горячего водоснабжения</t>
  </si>
  <si>
    <t>Материал стен</t>
  </si>
  <si>
    <t>Количество этажей</t>
  </si>
  <si>
    <t>Количество подъездов</t>
  </si>
  <si>
    <t>Общая площадь МКД, всего</t>
  </si>
  <si>
    <t>Количество жителей, зарегистрированных в МКД на дату утверждения краткосрочного плана</t>
  </si>
  <si>
    <t>в том числе жилых помещений, находящихся в собственности граждан</t>
  </si>
  <si>
    <t>в том числе</t>
  </si>
  <si>
    <t>за счет средств местного бюджета</t>
  </si>
  <si>
    <t>чел.</t>
  </si>
  <si>
    <t>Формирование фонда капитального ремонта многоквартирного дома на специальном счете, владельцем которого является региональный оператор</t>
  </si>
  <si>
    <t>Формирование фонда капитального ремонта многоквартирного дома на специальном счете, владельцем которого является товарищество собственников жилья, жилищно-строительный кооператив, жилищный кооператив, иной специализированный потребительский кооператив, управляющая компания</t>
  </si>
  <si>
    <t>Стоимость капитального ремонта</t>
  </si>
  <si>
    <t>за счет средств собственников помещений 
в МКД</t>
  </si>
  <si>
    <t>за счет средств областного бюджета Тверской области</t>
  </si>
  <si>
    <t>Краткосрочный план</t>
  </si>
  <si>
    <t>I. Перечень многоквартирных домов, которые подлежат капитальному ремонту</t>
  </si>
  <si>
    <t xml:space="preserve">II. Реестр многоквартирных домов, которые подлежат капитальному ремонту, по видам ремонта </t>
  </si>
  <si>
    <t>III. Планируемые показатели выполнения работ по капитальному ремонту многоквартирных домов</t>
  </si>
  <si>
    <t>№ 
п/п</t>
  </si>
  <si>
    <t>за счет привлеченных средств (кредит)</t>
  </si>
  <si>
    <t>за счет привлеченных средств (рассрочка)</t>
  </si>
  <si>
    <t>Формирование фонда капитального ремонта многоквартирного дома на счете регионального оператора</t>
  </si>
  <si>
    <t>всего</t>
  </si>
  <si>
    <t>Количество жителей, зарегистрированных в МКД 
на дату утверждения краткосрочного плана</t>
  </si>
  <si>
    <t>ремонт внутридомовых инженерных систем</t>
  </si>
  <si>
    <t>ремонт фундамента</t>
  </si>
  <si>
    <t>выполнения работ по капитальному ремонту</t>
  </si>
  <si>
    <t xml:space="preserve">электроснабжения </t>
  </si>
  <si>
    <t xml:space="preserve">ремонт подвальных помещений, относящихся к общему имуществу в многоквартирном доме </t>
  </si>
  <si>
    <t>итого</t>
  </si>
  <si>
    <t xml:space="preserve">ремонт, замена, модернизация лифтов, ремонт лифтовых шахт, машинных и блочных помещений
</t>
  </si>
  <si>
    <t>Формирование фонда капитального ремонта многоквартирного дома на специальном счете</t>
  </si>
  <si>
    <t>ремонт фасада</t>
  </si>
  <si>
    <t>Год ввода в эксплуатацию</t>
  </si>
  <si>
    <t>за счет имущества Фонда капитального ремонта многоквартирных домов Тверской области*</t>
  </si>
  <si>
    <t>без утепления</t>
  </si>
  <si>
    <t>с утеплением</t>
  </si>
  <si>
    <t xml:space="preserve"> обследование технического состояния общего имущества в многоквартирном доме</t>
  </si>
  <si>
    <t>Кесовогорский муниципальный округ</t>
  </si>
  <si>
    <t>пгт Кесова Гора, ул. Старовокзальная, д. 5А</t>
  </si>
  <si>
    <t xml:space="preserve"> ремонт крыши, переустройство невентилируемой крыши на вентилируемую крышу, устройство выходов на кровлю
</t>
  </si>
  <si>
    <t>г. Торжок, ул. 2-я Авиационая, д. 7</t>
  </si>
  <si>
    <t>Х</t>
  </si>
  <si>
    <t>г. Торжок, ул. Бакунина, д. 15</t>
  </si>
  <si>
    <t>г. Торжок, Калининское шоссе, д. 28Б</t>
  </si>
  <si>
    <t>г. Торжок, ул. Свердлова, д. 1</t>
  </si>
  <si>
    <t>г. Торжок, ул. Мира, д. 36</t>
  </si>
  <si>
    <t>г. Торжок, ул. Кузнечная, д.8</t>
  </si>
  <si>
    <t>г. Торжок, ул. Ломоносова, д. 2</t>
  </si>
  <si>
    <t>г. Торжок, ул. Гражданская, д. 11</t>
  </si>
  <si>
    <t>г. Торжок, ул. Красноармейская, д. 2</t>
  </si>
  <si>
    <t>г. Торжок, ул. Красноармейская, д. 3</t>
  </si>
  <si>
    <t>г. Торжок, ул. Бакунина, д. 8</t>
  </si>
  <si>
    <t>г. Торжок, Тверецкая наб., д.80</t>
  </si>
  <si>
    <t>г. Торжок, ул. Луначарского, д. 14</t>
  </si>
  <si>
    <t>г. Торжок, ул. Бакунина, д. 5</t>
  </si>
  <si>
    <t>г. Торжок, ул. Зеленый городок, д. 6</t>
  </si>
  <si>
    <t>Жарковский муниципальный округ</t>
  </si>
  <si>
    <t>Краснохолмский муниципальный округ</t>
  </si>
  <si>
    <t xml:space="preserve"> </t>
  </si>
  <si>
    <t>г. Красный Холм, ул. Мясникова, д. 36В</t>
  </si>
  <si>
    <t>г. Красный Холм, ул. Октябрьская, д. 26</t>
  </si>
  <si>
    <t>г. Красный Холм, ул. Мясникова, д. 36 В</t>
  </si>
  <si>
    <t>Бологовский муниципальный округ</t>
  </si>
  <si>
    <t>панельный</t>
  </si>
  <si>
    <t>кирпичные</t>
  </si>
  <si>
    <t>Калининский муниципальный округ</t>
  </si>
  <si>
    <t>панельные</t>
  </si>
  <si>
    <t>с. Медное, ул. МСШИ, д. 2</t>
  </si>
  <si>
    <t>с. Красная Гора, ул. Центральная, д. 6</t>
  </si>
  <si>
    <t>д. Андрейково, д. 1Б</t>
  </si>
  <si>
    <t>д. Березино, ул. Центральная, д. 3</t>
  </si>
  <si>
    <t>д. Савватьево, д. 7А</t>
  </si>
  <si>
    <t>д. Некрасово, ул. Центральная, д. 14</t>
  </si>
  <si>
    <t>с. Медное, ул. МСШИ, д. 3</t>
  </si>
  <si>
    <t>с. Медное, ул. Дорожный дом, д. 1</t>
  </si>
  <si>
    <t>каменные, кирпичные</t>
  </si>
  <si>
    <t>с. Бурашево, ул. М. Литвинова, д. 41</t>
  </si>
  <si>
    <t>н.п. Эммаусская школа-интернат, д. 3</t>
  </si>
  <si>
    <t>п. Эммаусс, д. 13А</t>
  </si>
  <si>
    <t>д. Колталово, ул. Зеленая, д. 19</t>
  </si>
  <si>
    <t>д. Колталово, ул. Зеленая, д. 22</t>
  </si>
  <si>
    <t>д. Рязаново, д. 10</t>
  </si>
  <si>
    <t>д. Никулино, ул. Юбилейная, д. 2</t>
  </si>
  <si>
    <t>Лихославльский  муниципальный округ</t>
  </si>
  <si>
    <t>г. Лихославль, ул. Вагжанова,  д. 10</t>
  </si>
  <si>
    <t>п. Осиновая гряда, д. 34</t>
  </si>
  <si>
    <t>Лихославльский муниципальный округ</t>
  </si>
  <si>
    <t>с. Ильинское, ул. Мира, д. 2</t>
  </si>
  <si>
    <t>г. Лихославль, ул. Школьная, д.6</t>
  </si>
  <si>
    <t>п. Крючково, ул. Комсомольская, д. 15</t>
  </si>
  <si>
    <t>п. Крючково, ул. Комсомольская, д. 18</t>
  </si>
  <si>
    <t>г. Лихославль, ул. Вагжанова, д. 10</t>
  </si>
  <si>
    <t>г. Торжок, ул. 2-я Авиационная, д. 7</t>
  </si>
  <si>
    <t>г. Лихославль, ул. Школьная, д. 5</t>
  </si>
  <si>
    <t>г. Лихославль, пер. Привокзальный, д. 5</t>
  </si>
  <si>
    <t>г. Лихославль, ул. Бежецкая, д. 25</t>
  </si>
  <si>
    <t>до 1918</t>
  </si>
  <si>
    <t>г. Лихославль, ул. Красноармейская, д. 4А</t>
  </si>
  <si>
    <t>г. Лихославль, п. Льнозавод, д. 26</t>
  </si>
  <si>
    <t>г. Лихославль, ул. Юбилейная, д. РСУ</t>
  </si>
  <si>
    <t>г. Лихославль, ул. Первомайская, д. 14</t>
  </si>
  <si>
    <t>г. Лихославль, ул. Лихославльская, дом тяговой подстанции</t>
  </si>
  <si>
    <t>г. Лихославль, ул. Первомайская, д. 39</t>
  </si>
  <si>
    <t>г. Лихославль,  пер. Театральный, д. 2</t>
  </si>
  <si>
    <t>г.Лихославль, ул.Лихославльская, дом тяговой подстанции</t>
  </si>
  <si>
    <t>Западнодвинский муниципальный округ</t>
  </si>
  <si>
    <t>г. Западная Двина, ул. Школьная, д. 9</t>
  </si>
  <si>
    <t>блочные</t>
  </si>
  <si>
    <t>г. Западная Двина, ул. Школьная, д. 22</t>
  </si>
  <si>
    <t>г. Западная Двина, ул. Кирова, д. 33</t>
  </si>
  <si>
    <t>г. Западная Двина, ул. Щербакова, д. 24</t>
  </si>
  <si>
    <t>г. Западная Двина, ул. Фадеева, д. 25</t>
  </si>
  <si>
    <t>г. Западная Двина, ул. Мира, д. 35А</t>
  </si>
  <si>
    <t>г. Западная Двина, ул. Калинина, д. 8</t>
  </si>
  <si>
    <t>д. Осташково, ул. Молодежная, д. 11</t>
  </si>
  <si>
    <t>п. Зеленый, д. 20</t>
  </si>
  <si>
    <t>с. Яконово, ул. Поселковая, д. 4</t>
  </si>
  <si>
    <t>Молоковский муниципальный округ</t>
  </si>
  <si>
    <t>пгт Молоково, ул. Ленина, д. 8</t>
  </si>
  <si>
    <t>Бежецкий муниципальный округ</t>
  </si>
  <si>
    <t>г. Бежецк, Восточный проезд, д. 6/19</t>
  </si>
  <si>
    <t>деревянные</t>
  </si>
  <si>
    <t>г. Бежецк, ул. Инженерная, д. 3</t>
  </si>
  <si>
    <t>г. Бежецк, ул. Рабочая, д. 10/5</t>
  </si>
  <si>
    <t>г. Бежецк, наб. ряд.Николаева, д. 8</t>
  </si>
  <si>
    <t>г. Бежецк, ул. Инженерная, д. 6</t>
  </si>
  <si>
    <t>г. Бежецк, наб. ряд. Николаева, д. 8</t>
  </si>
  <si>
    <t>Рамешковский муниципальный округ</t>
  </si>
  <si>
    <t>Спировский муниципальный округ</t>
  </si>
  <si>
    <t>с. Выдропужск, ул. Новая, д. 1</t>
  </si>
  <si>
    <t>Селижаровский муниципальный округ</t>
  </si>
  <si>
    <t>Весьегонский муниципальный округ</t>
  </si>
  <si>
    <t>Кимрский муниципальный округ</t>
  </si>
  <si>
    <t>п. Белый Городок, ул. Главная, д. 15</t>
  </si>
  <si>
    <t>г. Кимры, ул. Шевченко, д. 99В</t>
  </si>
  <si>
    <t>п. Белый Городок, ул. Лесная, д. 6</t>
  </si>
  <si>
    <t>п. Белый Городок, ул. Лесная, д. 9</t>
  </si>
  <si>
    <t>г. Кимры, ул. Коммунистическая, д. 2/5</t>
  </si>
  <si>
    <t>п. Белый Городок, ул. Заводская, д. 2</t>
  </si>
  <si>
    <t>г. Кимры, ул. Комсомольская, д. 37</t>
  </si>
  <si>
    <t>г. Кимры, ул. Комсомольская, д. 39</t>
  </si>
  <si>
    <t>г. Кимры, ул. Кропоткина, д. 6</t>
  </si>
  <si>
    <t>ЗАТО Озерный</t>
  </si>
  <si>
    <t>Кувшиновский муниципальный округ</t>
  </si>
  <si>
    <t>г. Кувшиново, ул. Бумажников, д. 4</t>
  </si>
  <si>
    <t>г. Кувшиново, ул. Экономическая, д. 11</t>
  </si>
  <si>
    <t>г. Кувшиново, пер. Маяковского, д. 7</t>
  </si>
  <si>
    <t>г. Кувшиново, пер. Маяковского, д. 8</t>
  </si>
  <si>
    <t>г. Кувшиново, пер. Маяковского, д. 5</t>
  </si>
  <si>
    <t>г. Кувшиново, ул. Бумажников, д. 10</t>
  </si>
  <si>
    <t>Кашинский муниципальный округ</t>
  </si>
  <si>
    <t>г. Кашин, ул. Ленина, д. 10</t>
  </si>
  <si>
    <t>до 1917</t>
  </si>
  <si>
    <t>г. Кашин, ул. Обновленный Труд, д. 6</t>
  </si>
  <si>
    <t>п. Стулово, ул. Центральная, д. 3</t>
  </si>
  <si>
    <t>д. Верхняя Троица, ул. Мира, д. 9</t>
  </si>
  <si>
    <t>д. Тетьково, д. 80</t>
  </si>
  <si>
    <t>г. Кашин, ул. Ленина, д. 29</t>
  </si>
  <si>
    <t>д. Тетьково, д. 70</t>
  </si>
  <si>
    <t>г. Кашин, наб. Судейская, д. 1А</t>
  </si>
  <si>
    <t>п. Стулово, ул. Центральная, д. 18</t>
  </si>
  <si>
    <t>г. Кашин, ул. Ивана Тургенева, д. 6</t>
  </si>
  <si>
    <t>г. Кашин, ул.Песочная, д. 16/7</t>
  </si>
  <si>
    <t>г. Кашин, ул.Заводская, д. 12</t>
  </si>
  <si>
    <t>г. Кашин, ул. Песочная, д.8</t>
  </si>
  <si>
    <t>г. Кашин, ул. Анатолия Луначарского, д. 8</t>
  </si>
  <si>
    <t>г. Кашин, ул. Анатолия Луначарского, д. 10</t>
  </si>
  <si>
    <t>г. Кашин, ул. Карла Маркса, д. 16</t>
  </si>
  <si>
    <t>д. Тетьково, д.17</t>
  </si>
  <si>
    <t>подлежит оценке в соотвествии с проектной документацией</t>
  </si>
  <si>
    <t>Сонковский муниципальный округ</t>
  </si>
  <si>
    <t>п. Эммаусс, д. 5</t>
  </si>
  <si>
    <t>Торопецкий муниципальный округ</t>
  </si>
  <si>
    <t>д. Лесная, д.3</t>
  </si>
  <si>
    <t>г. Торопец, ул. Комсомольская, д. 40</t>
  </si>
  <si>
    <t>Нелидовский муниципальный округ</t>
  </si>
  <si>
    <t>г. Нелидово, ул. Кирова, д. 33</t>
  </si>
  <si>
    <t>Каменные, кирпичные</t>
  </si>
  <si>
    <t>г. Нелидово, ул. Нахимова, д. 9/12</t>
  </si>
  <si>
    <t>г. Нелидово, ул. Шменкеля, д. 15</t>
  </si>
  <si>
    <t>г. Нелидово, ул. Шменкеля, д. 20</t>
  </si>
  <si>
    <t>г. Нелидово, ул. Горького, д. 4</t>
  </si>
  <si>
    <t>г. Нелидово, ул. Кирова, д. 37</t>
  </si>
  <si>
    <t>г. Нелидово, ул. Нахимова, д. 14/13</t>
  </si>
  <si>
    <t>г. Нелидово, ул. Горького, д. 10</t>
  </si>
  <si>
    <t>пос. Межа, ул. Ленина, д. 15</t>
  </si>
  <si>
    <t>пос. Южный, ул. Маресьева, д. 23</t>
  </si>
  <si>
    <t>г. Нелидово, ул. Матросова, д. 26/1</t>
  </si>
  <si>
    <t>г. Нелидово, ул. Правды, д. 9</t>
  </si>
  <si>
    <t>Максатихинский муниципальный округ</t>
  </si>
  <si>
    <t>Фировский муниципальный округ</t>
  </si>
  <si>
    <t>п. Труд, ул. Толстова, д. 6</t>
  </si>
  <si>
    <t>п. Фирово, ул. Советская, д. 35</t>
  </si>
  <si>
    <t>Оленинский муниципальный округ</t>
  </si>
  <si>
    <t xml:space="preserve">Оленинский муниципальный округ </t>
  </si>
  <si>
    <t>д. Михайловское, ул. Новикова, д. 5</t>
  </si>
  <si>
    <t>п. Березайка, ул. Дачная, д. 8</t>
  </si>
  <si>
    <t>г. Бологое, Турбаза Озерная, д. 1</t>
  </si>
  <si>
    <t>г. Бологое, ул. Северная, д. 15</t>
  </si>
  <si>
    <t>г. Бологое, ул. Гагарина, д. 8</t>
  </si>
  <si>
    <t>г. Бологое, мкр. Заводской, д. 5</t>
  </si>
  <si>
    <t>п. Выползово, ул. Березовая Роща, д. 2</t>
  </si>
  <si>
    <t>г. Бологое, ул. Дзержинского, д. 2</t>
  </si>
  <si>
    <t>г. Бологое, ул. Луначарского, д. 35</t>
  </si>
  <si>
    <t>г. Бологое, ул. Мира, д. 195</t>
  </si>
  <si>
    <t>г. Бологое, ул. Кирова, д. 1</t>
  </si>
  <si>
    <t>г. Бологое, ул. Кирова, д. 20</t>
  </si>
  <si>
    <t>г. Бологое, ул. Луначарского, д. 43</t>
  </si>
  <si>
    <t>г. Бологое, ул. Гагарина, д. 6</t>
  </si>
  <si>
    <t>г. Бологое, ул. Кирова, д. 3</t>
  </si>
  <si>
    <t>п. Выползово, ул. Березовая Роща, д. 10</t>
  </si>
  <si>
    <t>Андреапольский муниципальный округ</t>
  </si>
  <si>
    <t>г. Андреаполь, ул. Октябрьская, д. 56</t>
  </si>
  <si>
    <t>г. Андреаполь, ул. Половчени, д. 8</t>
  </si>
  <si>
    <t>г. Андреаполь, ул. Гагарина, д. 15</t>
  </si>
  <si>
    <t>Бельский муниципальный округ</t>
  </si>
  <si>
    <t>г. Белый, ул. Ленина, д.40</t>
  </si>
  <si>
    <t>г. Белый, ул. Кирова, д.5</t>
  </si>
  <si>
    <t>г. Белый, ул. Загородная, д. 7</t>
  </si>
  <si>
    <t>г. Белый, ул. Строителей, д. 1</t>
  </si>
  <si>
    <t>прочие</t>
  </si>
  <si>
    <t>железобетонные</t>
  </si>
  <si>
    <t>Конаковский муниципальный округ</t>
  </si>
  <si>
    <t>г. Конаково, ул. Гагарина, д. 26</t>
  </si>
  <si>
    <t>г. Конаково, ул. Гагарина, д. 9</t>
  </si>
  <si>
    <t>г. Конаково, ул. Энергетиков, д. 20</t>
  </si>
  <si>
    <t>д. Кошелево, ул. Молодежная, д. 23</t>
  </si>
  <si>
    <t>г. Конаково, ул. Энергетиков, д. 10</t>
  </si>
  <si>
    <t>пгт. Редкино, ул. Калинина, д. 8</t>
  </si>
  <si>
    <t>г. Конаково, ул. Энергетиков, д. 1</t>
  </si>
  <si>
    <t>г. Конаково, ул. Энергетиков, д. 18</t>
  </si>
  <si>
    <t>г. Конаково, ул. Учебная, д. 1</t>
  </si>
  <si>
    <t>г. Конаково, ул. Набережная Волги, д. 50</t>
  </si>
  <si>
    <t>г. Конаково, ул. Энергетиков, д. 3</t>
  </si>
  <si>
    <t>с. Городня, ул. Советская, д. 4</t>
  </si>
  <si>
    <t>г. Конаково, ул. Васильковского, д. 21</t>
  </si>
  <si>
    <t>г. Конаково, ул. Гагарина, д. 13</t>
  </si>
  <si>
    <t>г. Конаково, ул. Баскакова, д. 17</t>
  </si>
  <si>
    <t>г. Конаково, ул. Гагарина, д. 40</t>
  </si>
  <si>
    <t>г. Конаково, ул. Учебная, д. 11</t>
  </si>
  <si>
    <t>с. Селихово, ул. Новая, д. 1</t>
  </si>
  <si>
    <t>г. Конаково, ул. Первомайская, д. 22</t>
  </si>
  <si>
    <t>г. Конаково, ул. Свободы, д. 141</t>
  </si>
  <si>
    <t>п. Карачарово, д. 1А</t>
  </si>
  <si>
    <t>г. Конаково, ул. Учебная, д. 21</t>
  </si>
  <si>
    <t>г. Конаково, ул. Горького, д. 2</t>
  </si>
  <si>
    <t>д. Мокшино, ул. Ленинградская, д. 8</t>
  </si>
  <si>
    <t>с. Завидово, ул. Школьная, д. 9</t>
  </si>
  <si>
    <t>д. Мокшино, ул. Солнечная, д. 3</t>
  </si>
  <si>
    <t>д. Мокшино, ул. Ленинградская, д. 2</t>
  </si>
  <si>
    <t>д. Мокшино, ул. Ленинградская, д. 6</t>
  </si>
  <si>
    <t>Подлежит оценке в соответствии с проектной документацией</t>
  </si>
  <si>
    <t>Пеновский муниципальный округ</t>
  </si>
  <si>
    <t>п. Пено, ул. З. Голицыной, д. 11</t>
  </si>
  <si>
    <t>ЗАТО Солнечный</t>
  </si>
  <si>
    <t>п. Солнечный, ул. Новая, д. 28</t>
  </si>
  <si>
    <t>п. Солнечный, ул. Новая, д. 29</t>
  </si>
  <si>
    <t>п. Солнечный, ул. Новая, д. 30</t>
  </si>
  <si>
    <t>п. Солнечный, ул. Новая, д. 32</t>
  </si>
  <si>
    <t>Калязинский муниципальный округ</t>
  </si>
  <si>
    <t>Зубцовский муниципальный округ</t>
  </si>
  <si>
    <t>г. Зубцов, ул. им. С.П.Вихорева, д. 7</t>
  </si>
  <si>
    <t>г. Зубцов, ул. Парижской Коммуны, д. 51</t>
  </si>
  <si>
    <t>г. Зубцов, ул. Халтурина, д. 2/22</t>
  </si>
  <si>
    <t>деревянные, рубленные</t>
  </si>
  <si>
    <t>г. Зубцов, ул. Мира, д. 8</t>
  </si>
  <si>
    <t>г. Зубцов, ул. Мира, д. 1</t>
  </si>
  <si>
    <t>г. Зубцов, ул. Мира, д. 9</t>
  </si>
  <si>
    <t>г. Торжок ул. Падерина, д. 3</t>
  </si>
  <si>
    <t>Осташковский муниципальный округ</t>
  </si>
  <si>
    <t>г. Кувшиново, ул. 8-е Марта, д. 32</t>
  </si>
  <si>
    <t>г. Кувшиново, ул. Ленина, д. 4</t>
  </si>
  <si>
    <t>г. Кашин, ул. Карла Маркса, д. 21А</t>
  </si>
  <si>
    <t>Вышневолоцкий муниципальный округ</t>
  </si>
  <si>
    <t>г. Вышний Волочек, ул. Красных Печатников, д. 16</t>
  </si>
  <si>
    <t>г. Вышний Волочек, ул. Двор фабрики Пролетарский Авангард, д. 41</t>
  </si>
  <si>
    <t>г. Вышний Волочек, ул. Чапаева, д. 11</t>
  </si>
  <si>
    <t>г. Вышний Волочек, ул. Чапаева, д. 5</t>
  </si>
  <si>
    <t>г. Вышний Волочек, ул. Большая Садовая, д. 146/2</t>
  </si>
  <si>
    <t>г. Вышний Волочек, ул. Двор фабрики Парижская Коммуна, д. 49</t>
  </si>
  <si>
    <t>г. Вышний Волочек, ул. Двор фабрики Пролетарский Авангард, д. 46</t>
  </si>
  <si>
    <t>до 1962</t>
  </si>
  <si>
    <t>г. Вышний Волочек, ул. Красных Печатников, 
д. 16</t>
  </si>
  <si>
    <t>г. Вышний Волочек, ул. Котовского, д. 68</t>
  </si>
  <si>
    <t>г. Вышний Волочек, ул. Правды, д. 35</t>
  </si>
  <si>
    <t>г. Вышний Волочек, Московское шоссе, д. 113</t>
  </si>
  <si>
    <t>г. Вышний Волочек, ул. Екатерининская, д. 33</t>
  </si>
  <si>
    <t>г. Вышний Волочек, Пожарная набережная, д. 13А</t>
  </si>
  <si>
    <t>г. Вышний Волочек, ул. Парижской Коммуны, д. 58</t>
  </si>
  <si>
    <t>г. Вышний Волочек, ул. Егорова, д. 4</t>
  </si>
  <si>
    <t>г. Вышний Волочек, ул. Красная, д. 6а</t>
  </si>
  <si>
    <t>г. Вышний Волочек, ул. Двор фабрики Парижская Коммуна, д. 29</t>
  </si>
  <si>
    <t>г. Вышний Волочек, ул. Екатерининская, д. 39</t>
  </si>
  <si>
    <t>г. Вышний Волочек, Ванчакова линия, д. 5</t>
  </si>
  <si>
    <t>г. Вышний Волочек, ул. Екатерининская, д. 4-6</t>
  </si>
  <si>
    <t>г. Вышний Волочек, ул. Большая Садовая, д. 82</t>
  </si>
  <si>
    <t>г. Вышний Волочек, ул. 4-я Пролетарская, д. 98/2</t>
  </si>
  <si>
    <t>г. Вышний Волочек, ул. Двор фабрики Парижская коммуна, д. 48</t>
  </si>
  <si>
    <t>г. Вышний Волочек, ул. Советская, д. 21/2</t>
  </si>
  <si>
    <t>г. Вышний Волочек, наб. Валентины Терешковой, д. 41</t>
  </si>
  <si>
    <t>г. Вышний Волочек, ул. Екатерининская, д. 7-9</t>
  </si>
  <si>
    <t>г. Вышний Волочек, ул. Красноармейская, д. 1</t>
  </si>
  <si>
    <t>г. Вышний Волочек, ул. Красный Городок, д. 407</t>
  </si>
  <si>
    <t>г. Вышний Волочек, ул. Ямская, д. 173Б</t>
  </si>
  <si>
    <t>Подлежит оценки в соответствии с прокной документацией</t>
  </si>
  <si>
    <t>г. Вышний Волочек, ул. Красноармейская,
 д. 1</t>
  </si>
  <si>
    <t>г. Вышний Волочек, ул. Красный Городок, 
д. 407</t>
  </si>
  <si>
    <t>Старицкий муниципальный округ</t>
  </si>
  <si>
    <t>д. Красное, д.30</t>
  </si>
  <si>
    <t>д. Красное, 32</t>
  </si>
  <si>
    <t>310, 00</t>
  </si>
  <si>
    <t>г. Старица, ул. Карла Маркса, д.58</t>
  </si>
  <si>
    <t>г. Старица, ул. Адмирала Октябрьского, д. 65</t>
  </si>
  <si>
    <t>г. Старица, ул. Пушкина, д. 10</t>
  </si>
  <si>
    <t>Панельные</t>
  </si>
  <si>
    <t>Ржевский муниципальный округ</t>
  </si>
  <si>
    <t>Сандовский муниципальный округ</t>
  </si>
  <si>
    <t>Всего по Тверской области</t>
  </si>
  <si>
    <t>г. Лихославль, пер. Комсомольский, д. 7</t>
  </si>
  <si>
    <t>Наименование муниципального образования 
Тверской области</t>
  </si>
  <si>
    <t>Общая площадь МКД, 
всего</t>
  </si>
  <si>
    <t xml:space="preserve">Количество МКД </t>
  </si>
  <si>
    <t>Удомельский муниципальный округ</t>
  </si>
  <si>
    <t xml:space="preserve">Лихославльский муниципальный округ </t>
  </si>
  <si>
    <t>Реестр многоквартирных домов, капитальный ремонт которых не был завершен в 2025 году и которые планируется отремонтировать в 2026 – 2028 годах</t>
  </si>
  <si>
    <t>г. Кашин, ул. Артура Артузова, д. 12</t>
  </si>
  <si>
    <t>г. Тверь, ул. Туполева, д. 116</t>
  </si>
  <si>
    <t>г. Тверь, ул. Фрунзе, д. 4</t>
  </si>
  <si>
    <t>г. Тверь, ул. Левитана, д. 46</t>
  </si>
  <si>
    <t>п.  Литвинки, д. 4</t>
  </si>
  <si>
    <t>г. Тверь, наб. Степана Разина, д. 8</t>
  </si>
  <si>
    <t>г. Тверь, ул. Хромова, д. 12</t>
  </si>
  <si>
    <t>г. Тверь, ул. Богданова, д. 27</t>
  </si>
  <si>
    <t>г. Тверь, ул. Ротмистрова, д. 17</t>
  </si>
  <si>
    <t>2026</t>
  </si>
  <si>
    <t>г. Тверь, б-р Гусева, д. 40</t>
  </si>
  <si>
    <t>г. Тверь,ул. Паши Савельевой, д. 21</t>
  </si>
  <si>
    <t>г. Тверь, ул. Маршала Конева, д. 20</t>
  </si>
  <si>
    <t>г. Тверь, ул. Ротмистрова, д.  3</t>
  </si>
  <si>
    <t>г. Тверь, ул. Гвардейская, д. 7</t>
  </si>
  <si>
    <t>п. Литвинки, д. 3</t>
  </si>
  <si>
    <t>5,9,10</t>
  </si>
  <si>
    <t>г. Тверь, ул. Седова, д.  55</t>
  </si>
  <si>
    <t>г. Тверь, ул. Виноградова, д. 1</t>
  </si>
  <si>
    <t>г. Тверь, пр-кт Победы, д. 36/46</t>
  </si>
  <si>
    <t>5, 4, 2</t>
  </si>
  <si>
    <t>4, 5</t>
  </si>
  <si>
    <t>1982, 1986</t>
  </si>
  <si>
    <t>г. Тверь, п. 2-е Городское торфопредприятие, д. 10</t>
  </si>
  <si>
    <t>г. Тверь, тер. Двор Пролетарки,  дом 43</t>
  </si>
  <si>
    <t>г. Тверь, ул. Маршала Буденного, д. 19/1</t>
  </si>
  <si>
    <t>г. Тверь, ул. 15 лет Октября, д. 64/23</t>
  </si>
  <si>
    <t>г. Тверь, б-р Радищева, д. 26</t>
  </si>
  <si>
    <t>г. Тверь, ул. Маршала Василевского, д. 20</t>
  </si>
  <si>
    <t>г. Тверь, ул. Мичурина, д. 37/23</t>
  </si>
  <si>
    <t>г. Тверь, ул. Громова, д. 36 корпус 2</t>
  </si>
  <si>
    <t>г. Тверь, ул. Королева, д. 4</t>
  </si>
  <si>
    <t>г. Тверь, Петербургское шоссе, д. 7А</t>
  </si>
  <si>
    <t>г. Тверь, ул. Советская, д. 24</t>
  </si>
  <si>
    <t>г. Тверь, ул. Спартака, д. 4/2</t>
  </si>
  <si>
    <t>г. Тверь, ул. Благоева, д. 6А</t>
  </si>
  <si>
    <t>п. Химинститута, д. 32</t>
  </si>
  <si>
    <t>г. Тверь, тер. Двор Пролетарки, д. 164</t>
  </si>
  <si>
    <t>г. Тверь, ул. Инициативная, д. 10/11</t>
  </si>
  <si>
    <t>г. Тверь, ул. Маршала Захарова, д. 12</t>
  </si>
  <si>
    <t>г. Тверь, ул. Пушкинская, д. 2 А</t>
  </si>
  <si>
    <t>г. Тверь, ул. Седова, д. 7 В</t>
  </si>
  <si>
    <t>г. Тверь, ул. Екатерины Фарафоновой, д. 45</t>
  </si>
  <si>
    <t>г. Тверь, ул. Орджоникидзе, д. 11</t>
  </si>
  <si>
    <t>г. Тверь, б-р Гусева, д. 47, корпус 3</t>
  </si>
  <si>
    <t>г. Тверь, наб. Степана Разина, д. 16</t>
  </si>
  <si>
    <t>г. Тверь, наб. Степана Разина, д. 19</t>
  </si>
  <si>
    <t>г. Тверь, пер. Садовый, д. 37/15</t>
  </si>
  <si>
    <t>г. Тверь, пер. Спортивный, д. 2, корпус 4</t>
  </si>
  <si>
    <t>г. Тверь, ул. Громова, д. 9</t>
  </si>
  <si>
    <t>г. Тверь, ул. Евгения Пичугина, д. 56</t>
  </si>
  <si>
    <t>г. Тверь, ул.Лукина, д. 6</t>
  </si>
  <si>
    <t>г. Тверь, ул. Пушкинская, д. 9</t>
  </si>
  <si>
    <t>г. Тверь, ул. Ржевская, д. 12А</t>
  </si>
  <si>
    <t>г. Тверь, ул. Салтыкова-Щедрина, д. 44</t>
  </si>
  <si>
    <t>г. Тверь, ул. Советская, д. 18</t>
  </si>
  <si>
    <t>г. Тверь, ул. Советская, д. 64</t>
  </si>
  <si>
    <t>г. Тверь, ул. Стахановская, д. 31</t>
  </si>
  <si>
    <t>г. Тверь, ул. Фадеева, д. 38, корпус 2</t>
  </si>
  <si>
    <t>г. Тверь, ул.Андрея Дементьева, д. 36/38</t>
  </si>
  <si>
    <t>г. Тверь, ул. Можайского, д. 61В</t>
  </si>
  <si>
    <t>г. Тверь, ул. Ткача, д. 2</t>
  </si>
  <si>
    <t>г. Тверь, ул. Новоторжская, д. 14</t>
  </si>
  <si>
    <t>г. Тверь, б-р Цанова, д.  21</t>
  </si>
  <si>
    <t>г. Тверь, ул.Трехсвятская, д. 12</t>
  </si>
  <si>
    <t>г. Тверь, пер.Трудолюбия, д. 37</t>
  </si>
  <si>
    <t>г. Тверь, ул. Зинаиды Коноплянниковой, д. 15</t>
  </si>
  <si>
    <t>г. Тверь, ул. Вольного Новгорода, д. 23</t>
  </si>
  <si>
    <t>г. Тверь, ул. Склизкова, д.35</t>
  </si>
  <si>
    <t>г. Тверь, ул. Лизы Чайкиной, д. 25/2Б</t>
  </si>
  <si>
    <t>г. Тверь, пер. Партизанский, д.  22/8</t>
  </si>
  <si>
    <t>г. Тверь, ул.15 лет Октября, д. 47</t>
  </si>
  <si>
    <t>г. Тверь, б-р Профсоюзов, д. 18 корпус  2</t>
  </si>
  <si>
    <t>г. Тверь, ул. Склизкова, д. 33</t>
  </si>
  <si>
    <t>г. Тверь, ул. Терещенко, д. 36</t>
  </si>
  <si>
    <t>г. Тверь, ул. Громова, д. 28 корпус 2</t>
  </si>
  <si>
    <t>г. Тверь, ул. Орджоникидзе, д. 2/1</t>
  </si>
  <si>
    <t>г. Тверь, пер.Садовый, д. 20</t>
  </si>
  <si>
    <t>г. Тверь, ул. 15 лет Октября, д. 48/15</t>
  </si>
  <si>
    <t>г. Тверь, ул. 15 лет Октября, д.8</t>
  </si>
  <si>
    <t>г. Тверь, пер. Садовый, д. 22</t>
  </si>
  <si>
    <t>г. Тверь, ул. Лукина, д. 10</t>
  </si>
  <si>
    <t>г. Тверь, ул. Бочкина, д. 22</t>
  </si>
  <si>
    <t>г. Тверь, наб. Степана Разина, д. 2</t>
  </si>
  <si>
    <t>г. Тверь, наб. реки Лазури, д. 14</t>
  </si>
  <si>
    <t>г. Тверь, наб. Афанасия Никитина, д. 82/2</t>
  </si>
  <si>
    <t>г. Тверь, ул.Мусоргского, д. 36А</t>
  </si>
  <si>
    <t>г. Тверь, 1-ый пер. (поселок Элеватор), д. 1</t>
  </si>
  <si>
    <t>г. Тверь, ул.Фрунзе, д. 6</t>
  </si>
  <si>
    <t>г. Тверь, ул. Фадеева, д. 4</t>
  </si>
  <si>
    <t>г. Тверь, наб. реки Лазури, д. 12</t>
  </si>
  <si>
    <t>г. Тверь, ул. Резинстроя, д. 2/7</t>
  </si>
  <si>
    <t>г. Тверь, наб. реки Лазури, д. 7</t>
  </si>
  <si>
    <t>г. Тверь, ул. Орджоникидзе, д. 12/1</t>
  </si>
  <si>
    <t>г. Тверь, ул. Склизкова, д. 27</t>
  </si>
  <si>
    <t>поселок Химинститута, д. 12</t>
  </si>
  <si>
    <t>г. Тверь, б-р Шмидта, д. 39А</t>
  </si>
  <si>
    <t>поселок Химинститута, д. 11</t>
  </si>
  <si>
    <t>г. Тверь, ул. Советская, д. 41</t>
  </si>
  <si>
    <t>г. Тверь, наб. реки Лазури, д. 6/1</t>
  </si>
  <si>
    <t>г. Тверь, пр-кт Николая Корыткова, д. 40</t>
  </si>
  <si>
    <t>г. Тверь, ул. Склизкова, д. 94</t>
  </si>
  <si>
    <t>г. Тверь, ул.Орджоникидзе, д. 22/25</t>
  </si>
  <si>
    <t>г. Тверь, ул. Орджоникидзе, д. 10/2</t>
  </si>
  <si>
    <t>г. Тверь, ул. Склизкова, д. 68</t>
  </si>
  <si>
    <t>поселок Химинститута, д. 57</t>
  </si>
  <si>
    <t>п. Литвинки, д. 5</t>
  </si>
  <si>
    <t>г. Удомля, ул.  Карла Маркса д. 3</t>
  </si>
  <si>
    <t>г. Удомля, ул. Автодорожная, д. 9</t>
  </si>
  <si>
    <t>г. Удомля, ул. Парковая  д. 30А</t>
  </si>
  <si>
    <t>г. Удомля, ул. Октябрьская, д. 23А</t>
  </si>
  <si>
    <t>г. Удомля, ул. Карла Маркса, д. 23А</t>
  </si>
  <si>
    <t xml:space="preserve">                </t>
  </si>
  <si>
    <t>бетонные</t>
  </si>
  <si>
    <t>г. Ржев, ул. Калинина, д. 51А</t>
  </si>
  <si>
    <t>г. Ржев, ул. Тимирязева, д. 9</t>
  </si>
  <si>
    <t xml:space="preserve">г. Ржев, ул. Тимирязева, д. 9 </t>
  </si>
  <si>
    <t>г. Ржев, ул. Ленина, д. 20/89</t>
  </si>
  <si>
    <t>д. Бубеньево, д. 29</t>
  </si>
  <si>
    <t>г. Тверь, тер. Двор Пролетарки, д. 43</t>
  </si>
  <si>
    <t>г. Тверь, ул. Седова, д.7 В</t>
  </si>
  <si>
    <t>г. Тверь, ул. Фрунзе, д. 20</t>
  </si>
  <si>
    <r>
      <t>установка приборов учета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</t>
    </r>
  </si>
  <si>
    <r>
      <t>установка, ремонт систем приема телевидения</t>
    </r>
    <r>
      <rPr>
        <vertAlign val="superscript"/>
        <sz val="12"/>
        <rFont val="Times New Roman"/>
        <family val="1"/>
        <charset val="204"/>
      </rPr>
      <t>3</t>
    </r>
  </si>
  <si>
    <r>
      <t xml:space="preserve">теплоснабжения </t>
    </r>
    <r>
      <rPr>
        <vertAlign val="superscript"/>
        <sz val="12"/>
        <rFont val="Times New Roman"/>
        <family val="1"/>
        <charset val="204"/>
      </rPr>
      <t>1</t>
    </r>
  </si>
  <si>
    <t>Торжокский муниципальный округ**</t>
  </si>
  <si>
    <t>Городской округ город Торжок*</t>
  </si>
  <si>
    <t>п. Пригородный, ул. Ленинградская, д. 10</t>
  </si>
  <si>
    <t>п. Белый Омут, ул. Советская, д. 2</t>
  </si>
  <si>
    <t>п. Академический, ул. Фабричная, д. 3 </t>
  </si>
  <si>
    <t>п. Борисовский, ул. Октябрьская, д. 17</t>
  </si>
  <si>
    <t>п. Приозерный, ул. Дорожная, д. 6</t>
  </si>
  <si>
    <t>п. Приозерный, ул. Дорожная, д. 4</t>
  </si>
  <si>
    <t>п. Приозерный, ул. Дорожная, д. 5</t>
  </si>
  <si>
    <t>п. Академический, ул. Пионерская, д. 2</t>
  </si>
  <si>
    <t>п. Горняк, ул. Школьная, д. 3</t>
  </si>
  <si>
    <t>Торжокский муниципальный округ***</t>
  </si>
  <si>
    <t>Виды услуг и (или) работ по капитальному ремонту</t>
  </si>
  <si>
    <t>Стоимость капитального ремонта, всего</t>
  </si>
  <si>
    <t>Городской округ город Тверь</t>
  </si>
  <si>
    <t>г. Торжок, ул. Падерина, д. 3</t>
  </si>
  <si>
    <t>г. Конаково, ул. Гагарина, д.8</t>
  </si>
  <si>
    <t>Площадь помещений МКД</t>
  </si>
  <si>
    <t xml:space="preserve">разработки проектной документации, проведения проверки достоверности определения сметной 
стоимости капитального ремонта,
обследования  технического состояния общего имущества в многоквартирном доме                                                                                     
</t>
  </si>
  <si>
    <t>Плановая дата завершения</t>
  </si>
  <si>
    <t>пгт Васильевский Мох, ул. Больничная, д. 8</t>
  </si>
  <si>
    <t>пгт Редкино, ул. Гагарина, д. 1</t>
  </si>
  <si>
    <t>пгт Радченко, д. 43</t>
  </si>
  <si>
    <t>пгт Радченко, д. 15</t>
  </si>
  <si>
    <t>пгт Редкино, ул. Калинина, д. 8</t>
  </si>
  <si>
    <t>пгт Калашниково, ул. Лесопильная, д. 8</t>
  </si>
  <si>
    <t>пгт Максатиха, ул. Северная, д. 3</t>
  </si>
  <si>
    <t>пгт Максатиха, ул. им. Нового, д. 61</t>
  </si>
  <si>
    <t>Городской округ город Торжок**</t>
  </si>
  <si>
    <t>г. Удомля, ул.  Карла Маркса, д. 3</t>
  </si>
  <si>
    <t>г. Удомля, ул. Парковая, д. 30А</t>
  </si>
  <si>
    <t>г. Тверь, ул. Паши Савельевой, д. 21</t>
  </si>
  <si>
    <t>пгт Козлово ул. Стадиона, д. 9</t>
  </si>
  <si>
    <t>пгт Изоплит, ул. Пионерская, д. 4</t>
  </si>
  <si>
    <t>пгт Редкино, ул. Калинина, д. 5</t>
  </si>
  <si>
    <t>пгт Редкино, ул. Калинина, д. 3</t>
  </si>
  <si>
    <t>г. Кувшиново, бульвар Пионерский, д. 3</t>
  </si>
  <si>
    <t>пгт Калашниково, ул. Речная, д. 8</t>
  </si>
  <si>
    <t>пгт Максатиха, ул. Садовая, д. 10</t>
  </si>
  <si>
    <t>пгт Селижарово, ул. Южная, д. 3</t>
  </si>
  <si>
    <t>г. Тверь, ул. Седова, д. 55</t>
  </si>
  <si>
    <t>пгт Красномайский, ул. Железнодорожная, д. 18</t>
  </si>
  <si>
    <t>пгт Жарковский, ул. Доватора, д. 18</t>
  </si>
  <si>
    <t>пгт Орша, ул. Октябрьская, д. 9/7</t>
  </si>
  <si>
    <t>пгт Козлово, ул. Северная, д. 1А</t>
  </si>
  <si>
    <t>пгт Изоплит, ул. Пионерская, д. 1</t>
  </si>
  <si>
    <t>пгт Редкино, ул. Калинина, д. 4</t>
  </si>
  <si>
    <t>пгт Редкино, ул. Гагарина, д. 8</t>
  </si>
  <si>
    <t>пгт Радченко, д. 33</t>
  </si>
  <si>
    <t>пгт Козлово, ул. Северная, д. 6А</t>
  </si>
  <si>
    <t>пгт Новозавидовский, ул. Советская 2-я, д. 6</t>
  </si>
  <si>
    <t>пгт Радченко, д. 47</t>
  </si>
  <si>
    <t>пгт Рамешки, ул Заводская, д. 9Б</t>
  </si>
  <si>
    <t>пгт Селижарово, ул. Южная, д. 5</t>
  </si>
  <si>
    <t>пгт Озерный, ул. Московская, д. 1</t>
  </si>
  <si>
    <t>пгт Озерный, ул. Советская, д. 4</t>
  </si>
  <si>
    <t>пгт Озерный, ул. Московская, д. 2</t>
  </si>
  <si>
    <t>пгт Озерный, ул. Московская, д. 4</t>
  </si>
  <si>
    <t>пгт Озерный, ул. Киевская, д. 5а</t>
  </si>
  <si>
    <t>пгт Озерный, пер. Садовый, д. 4</t>
  </si>
  <si>
    <t>пгт Озерный, ул. Московская, д. 15</t>
  </si>
  <si>
    <t>пгт Озерный, ул. Московская, д. 17</t>
  </si>
  <si>
    <t>пгт Озерный, ул. Ленинградская, д. 16</t>
  </si>
  <si>
    <t>пгт Озерный, ул. Загородная, д. 2</t>
  </si>
  <si>
    <t>пгт Жарковский, ул. Мира, д. 4</t>
  </si>
  <si>
    <t>пгт Жарковский, ул. Мира, д. 13</t>
  </si>
  <si>
    <t>пгт Васильевский Мох, ул. Смирнова, д. 1</t>
  </si>
  <si>
    <t>пгт Орша, ул. Юбилейная, д. 10</t>
  </si>
  <si>
    <t>пгт Суховерково, ул. Калинина, д. 11</t>
  </si>
  <si>
    <t>п. Приволжский, ул. Центральная, д. 6</t>
  </si>
  <si>
    <t>пгт Козлово, ул. Прядильщиков, д. 14</t>
  </si>
  <si>
    <t>пгт Радченко, д. 37</t>
  </si>
  <si>
    <t>п. Озерки, ул. Ленинская, д. 19</t>
  </si>
  <si>
    <t>пгт Козлово, ул. Прядильщиков, д.18</t>
  </si>
  <si>
    <t>пгт Новозавидовский, ул. Юбилейная, д. 5</t>
  </si>
  <si>
    <t>п. Озерки, ул.Локомотивная, д. 5</t>
  </si>
  <si>
    <t>п. Озерки, пр-д Железнодорожный, д. 3</t>
  </si>
  <si>
    <t>пгт Калашниково, ул. Ленина, д. 33/5</t>
  </si>
  <si>
    <t>пгт Калашниково, ул. Ленина, д. 43</t>
  </si>
  <si>
    <t>пгт Калашниково, ул. Горького, д. 3</t>
  </si>
  <si>
    <t>пгт Рамешки, ул.Бежецкая, д. 20</t>
  </si>
  <si>
    <t>пгт Селижарово, ул. Степана Разина, д. 2А</t>
  </si>
  <si>
    <t>пгт Селижарово, ул. Рабочая, д. 12А</t>
  </si>
  <si>
    <t>г. Тверь, ул. Ротмистрова, д. 3</t>
  </si>
  <si>
    <t>пгт Спирово, ул. Бровцева, д. 10</t>
  </si>
  <si>
    <t>г. Удомля, ул. Володарского, д. 45</t>
  </si>
  <si>
    <t>г. Андреаполь, п. Чистая Речка, д. 29</t>
  </si>
  <si>
    <t>г. Вышний Волочек, ул. Красная, д. 6А</t>
  </si>
  <si>
    <t>пгт Максатиха, пер. Пролетарский, д. 4</t>
  </si>
  <si>
    <t>пгт Рамешки, ул. Заводская, д. 9Б</t>
  </si>
  <si>
    <t>г. Удомля, пр. Энергетиков, д. 7</t>
  </si>
  <si>
    <t>г. Удомля, ул. Космонавтов, д. 9</t>
  </si>
  <si>
    <t>г. Тверь, пр-кт Чайковского, д. 7</t>
  </si>
  <si>
    <t>пгт Озерный, ул. Киевская, д. 5А</t>
  </si>
  <si>
    <t>п. Приозерный, ул. Дорожная, д. 4А</t>
  </si>
  <si>
    <t>пос Озерки, ул.Локомотивная, д. 5</t>
  </si>
  <si>
    <t>пос Озерки, пр-д Железнодорожный, д. 3</t>
  </si>
  <si>
    <t>п. Межа, ул. Ленина, д. 15</t>
  </si>
  <si>
    <t>п. Южный, ул. Маресьева, д. 23</t>
  </si>
  <si>
    <t>пгт Рамешки, ул. Бежецкая, д. 20</t>
  </si>
  <si>
    <t>пгт Селижарово, ул. Степана Разина, 
д. 2А</t>
  </si>
  <si>
    <t>пгт Сонково, ул. Сельхозтехника, д. 1А</t>
  </si>
  <si>
    <t>г. Тверь, б-р Цанова, д. 21</t>
  </si>
  <si>
    <t>г. Удомля, ул. Попова, д. 17</t>
  </si>
  <si>
    <t>д. Мокшино, ул. Парковая,  д.5</t>
  </si>
  <si>
    <t>г. Тверь, ул. Орджоникидзе, д. 49, корпус 6</t>
  </si>
  <si>
    <t>г. Тверь, ул. Академическая, д. 14, корпус 1</t>
  </si>
  <si>
    <t>г. Тверь, пр-т Победы, д. 68, корпус 5</t>
  </si>
  <si>
    <t>г. Тверь, пр-д Зеленый, д. 45, корпус 7</t>
  </si>
  <si>
    <t>г. Тверь, пр-д Зеленый, д. 45, корпус 1</t>
  </si>
  <si>
    <t>г. Бологое, мкр-н Западный, д. 19</t>
  </si>
  <si>
    <t>г. Бологое, мкр-н Заводской, д. 1</t>
  </si>
  <si>
    <t>пгт Суховерково, пр-т Калинина, д. 9</t>
  </si>
  <si>
    <t>г. Удомля, пр-т Курчатова, д. 10А</t>
  </si>
  <si>
    <t>г. Удомля, пр-т Энергетиков, д. 14</t>
  </si>
  <si>
    <t>г. Удомля, пр-т Энергетиков, д. 4А</t>
  </si>
  <si>
    <t>г. Тверь, пр-т Победы, д. 24, корпус  1</t>
  </si>
  <si>
    <t>г. Тверь, ул. Паши Савельевой, д. 23, корпус 3</t>
  </si>
  <si>
    <t>г. Тверь, ул. Богданова, д. 24, корпус  2</t>
  </si>
  <si>
    <t>г. Бежецк, Восточный пр-д, д. 6/19</t>
  </si>
  <si>
    <t>г. Вышний Волочек, Московское ш., д. 113</t>
  </si>
  <si>
    <t>г. Вышний Волочек, Пожарная наб., д. 13А</t>
  </si>
  <si>
    <t>г. Конаково, пр-т Ленина, д. 10</t>
  </si>
  <si>
    <t>г. Конаково, пр-т Ленина, д. 13А</t>
  </si>
  <si>
    <t>г. Кувшиново, б-р Пионерский, д. 3</t>
  </si>
  <si>
    <t>г. Тверь, пер. Трудолюбия, д. 35,  корпус 1</t>
  </si>
  <si>
    <t>г. Тверь, пр-т Победы, д. 68, корпус  3</t>
  </si>
  <si>
    <t>г. Тверь, пр-т Октябрьский, д. 87, корпус 1</t>
  </si>
  <si>
    <t>г. Тверь, пр-т Победы, д. 36/46</t>
  </si>
  <si>
    <t>г. Тверь, ул. 15 лет Октября, д. 62, корпус 1</t>
  </si>
  <si>
    <t>г. Тверь, пр-т Победы, д. 42</t>
  </si>
  <si>
    <t>г. Тверь, пр-т Победы, д. 42А</t>
  </si>
  <si>
    <t>г. Тверь, ул. Громова, д. 36, корпус 2</t>
  </si>
  <si>
    <t>г. Тверь, пр-т Победы, д. 28 корпус 1</t>
  </si>
  <si>
    <t>г. Тверь, пр-т Чайковского, д. 24/2Б</t>
  </si>
  <si>
    <t>г. Тверь, пр-т Николая Корыткова, д. 44 А</t>
  </si>
  <si>
    <t>г. Тверь, пр-т Октябрьский, д. 87 корпус 1</t>
  </si>
  <si>
    <t>г. Тверь, пр-т Волоколамский, д. 9</t>
  </si>
  <si>
    <t>г. Тверь, пр-т Ленина, д. 23/1</t>
  </si>
  <si>
    <t>г. Тверь, б-р Гусева, д. 47, корпус 1</t>
  </si>
  <si>
    <t>г. Тверь, пр-т Октябрьский, д. 95, корпус 4</t>
  </si>
  <si>
    <t>г. Тверь, пр-т Победы, д. 48/29</t>
  </si>
  <si>
    <t>г. Тверь, пр-т Тверской, д. 9</t>
  </si>
  <si>
    <t>г. Тверь, Петербургское шоссе, д. 19</t>
  </si>
  <si>
    <t>г. Тверь, Петербургское шоссе, д. 43</t>
  </si>
  <si>
    <t>г. Тверь, ул. Железнодорожников, д. 35, корпус 1</t>
  </si>
  <si>
    <t>г. Тверь, ул. Железнодорожников, д. 35, корпус 2</t>
  </si>
  <si>
    <t>г. Тверь, пр-т Чайковского, д.  7</t>
  </si>
  <si>
    <t>г. Тверь, б-р Профсоюзов, д. 18, корпус  2</t>
  </si>
  <si>
    <t>г. Тверь, ул. Громова, д. 28, корпус 2</t>
  </si>
  <si>
    <t>г. Тверь, Петербургское шоссе, д. 118</t>
  </si>
  <si>
    <t>г. Тверь, пр-д Ремесленный, д. 8А</t>
  </si>
  <si>
    <t>г. Тверь, пр-д Боровой, д. 10</t>
  </si>
  <si>
    <t>г. Тверь, пр-т Октябрьский, д. 73</t>
  </si>
  <si>
    <t>г. Тверь, пр-т Николая Корыткова, д. 34</t>
  </si>
  <si>
    <t>г. Тверь, ул. 15 лет Октября, д. 63, корпус 1</t>
  </si>
  <si>
    <t>г. Тверь, пр-д Зеленый, д. 45 корпус 6</t>
  </si>
  <si>
    <t>г. Тверь, ул. Тамары Ильиной, д. 21</t>
  </si>
  <si>
    <t>г. Тверь, пр-т Ленина, д. 7/7</t>
  </si>
  <si>
    <t>г. Тверь, ул. Хромова, д.18, корпус 1</t>
  </si>
  <si>
    <t>г. Тверь, пр-т Победы, д. 43</t>
  </si>
  <si>
    <t>г. Тверь, пр-кт Октябрьский, д. 87, корпус 2</t>
  </si>
  <si>
    <t>г. Тверь, пр-т Победы, д. 44А</t>
  </si>
  <si>
    <t>г. Тверь, пр-т Победы, д. 22/15</t>
  </si>
  <si>
    <t>* Имущество Фонда капитального ремонта многоквартирных домов Тверской области, полученное от доходов в виде процентов, начисляемых кредитными организациями за пользование денежными средствами, находящимися на счете, счетах регионального оператора.</t>
  </si>
  <si>
    <t>пгт Редкино, пр-т Химиков, д. 37</t>
  </si>
  <si>
    <t>г. Удомля, пр-т Энергетиков д. 14</t>
  </si>
  <si>
    <t>г. Удомля, пр-т Курчатова д. 10А</t>
  </si>
  <si>
    <t>г. Удомля, пр-т Энергетиков д. 4А</t>
  </si>
  <si>
    <t>пгт Козлово, ул. Стадиона, д. 9</t>
  </si>
  <si>
    <t>г. Тверь, пр-кт Октябрьский, д. 87, корпус 1</t>
  </si>
  <si>
    <t>г. Тверь, пр-кт Победы, д. 68, корпус 3</t>
  </si>
  <si>
    <t>г. Тверь, ул. Орджоникидзе, д. 49, корпус  6</t>
  </si>
  <si>
    <t>г. Лихославль, ул. Школьная, д. 6</t>
  </si>
  <si>
    <t>г. Тверь, пр-т Победы, д. 28, корпус 1</t>
  </si>
  <si>
    <t>г. Тверь, пр-т Николая Корыткова, д. 40</t>
  </si>
  <si>
    <t>г. Тверь, пр-т Октябрьский, д. 87, корпус 2</t>
  </si>
  <si>
    <t>Вышневолоцкий  м.о., п. Горняк, ул. Школьная, д. 3</t>
  </si>
  <si>
    <t>Начало проведения капитального ремонта – 2027 год</t>
  </si>
  <si>
    <t>Начало проведения капитального ремонта – 2028 год</t>
  </si>
  <si>
    <t>Начало проведения капитального ремонта – 2026 год</t>
  </si>
  <si>
    <t>* Согласно муниципальному краткосрочному плану реализации в 2026 – 2028 годах региональной программы, утвержденному постановлением администрации муниципального образования городской округ город Торжок Тверской области от 05.11.2025 № 388 (реализация краткосрочного плана будет осуществляться в соответствии с частью 2 статьи 2 закона Тверской области от 08.12.2025 № 65-ЗО 
«О преобразовании муниципальных образований Тверской области путем объединения Торжокского муниципального округа и городского округа город Торжок Тверской области и создании вновь образованного муниципального образования с наделением его статусом муниципального округа и внесении изменений в отдельные законы Тверской области»).</t>
  </si>
  <si>
    <t>** Согласно муниципальному краткосрочному плану реализации в 2026 – 2028 годах региональной программы, утвержденному постановлением администрации Торжокского района Тверской области 
от 10.12.2025 № 323 (реализация краткосрочного плана будет осуществляться в соответствии с частью 2 статьи 2 закона Тверской области от 08.12.2025 № 65-ЗО «О преобразовании муниципальных образований Тверской области путем объединения Торжокского муниципального округа и городского округа город Торжок Тверской области и создании вновь образованного муниципального образования с наделением его статусом муниципального округа и внесении изменений в отдельные законы Тверской области»).</t>
  </si>
  <si>
    <t>в многоквартирных домах на территории Тверской области на 2014 – 2043 годы</t>
  </si>
  <si>
    <t>Начало проведения капитального ремонта – 2026  год</t>
  </si>
  <si>
    <t>Формирование фонда капитального ремонта многоквартирного дома на счете некоммерческой организации - Фонда капитального ремонта многоквартирных домов Тверской области (далее – региональный оператор)</t>
  </si>
  <si>
    <t>Адрес многоквартирного дома (далее – МКД)</t>
  </si>
  <si>
    <t>Начало проведения капитального ремонта – 2027  год</t>
  </si>
  <si>
    <t>Начало проведения капитального ремонта – 2028  год</t>
  </si>
  <si>
    <t>Перечень многоквартирных домов, капитальный ремонт которых не был завершен в 2025 году и которые планируется отремонтировать в период 2026 – 2028 годов</t>
  </si>
  <si>
    <t>** Согласно муниципальному краткосрочному плану реализации в 2026 – 2028 годах региональной программы, утвержденному постановлением администрации муниципального образования городской округ город Торжок Тверской области от 05.11.2025 № 388 (реализация краткосрочного плана будет осуществляться в соответствии с частью 2 статьи 2 закона Тверской области от 08.12.2025 № 65-ЗО «О преобразовании муниципальных образований Тверской области путем объединения Торжокского муниципального округа и городского округа город Торжок Тверской области и создании вновь образованного муниципального образования с наделением его статусом муниципального округа и внесении изменений в отдельные законы Тверской области»).</t>
  </si>
  <si>
    <t>*** Согласно муниципальному краткосрочному плану реализации в 2026 – 2028 годах региональной программы, утвержденному постановлением администрации Торжокского района Тверской области от 10.12.2025 № 323 (реализация краткосрочного плана будет осуществляться в соответствии с частью 2 статьи 2 закона Тверской области от 08.12.2025 № 65-ЗО «О преобразовании муниципальных образований Тверской области путем объединения Торжокского муниципального округа и городского округа город Торжок Тверской области и создании вновь образованного муниципального образования с наделением его статусом муниципального округа и внесении изменений в отдельные законы Тверской области»).</t>
  </si>
  <si>
    <t>пгт Озерный, ул. Строителей, д. 5</t>
  </si>
  <si>
    <t>пгт Озерный, ул. Строителей, д. 6</t>
  </si>
  <si>
    <t>г. Андреаполь, ул. Гагарина, д. 5</t>
  </si>
  <si>
    <t>г. Бежецк, д. Пестиха, д. 6</t>
  </si>
  <si>
    <t>г. Бежецк, ул. Чехова, д. 21</t>
  </si>
  <si>
    <t>г. Бежецк, ул. Нечаева, д. 26</t>
  </si>
  <si>
    <t>г. Бежецк, ул. Чехова, д. 17</t>
  </si>
  <si>
    <t>г. Бежецк, пер. 7-ой Штабской, д. 35</t>
  </si>
  <si>
    <t>г. Бежецк, пер. Революционный, д. 10</t>
  </si>
  <si>
    <t>г. Бежецк, ул. Школьная, д. 1</t>
  </si>
  <si>
    <t>г. Бежецк, ул.Энергетическая, д. 1</t>
  </si>
  <si>
    <t>г. Белый, ул. Ленина, д. 40</t>
  </si>
  <si>
    <t>г. Белый, ул. Кирова, д. 5</t>
  </si>
  <si>
    <t>п. Березайка-2, д. 130</t>
  </si>
  <si>
    <t>с. Кемцы, ул. Школьная, д. 15</t>
  </si>
  <si>
    <t>г. Весьегонск, ул. Некрасова, д. 21</t>
  </si>
  <si>
    <t>г. Калязин, ул. Тверская, д. 19</t>
  </si>
  <si>
    <t>г. Калязин, ул. Волгостроя, д. 17/13</t>
  </si>
  <si>
    <t>г. Калязин, ул. Декабристов, д. 11</t>
  </si>
  <si>
    <t>п. Белый Городок, ул. Главная, д. 3</t>
  </si>
  <si>
    <t>пгт Козлово, ул. Дачная, д. 8А</t>
  </si>
  <si>
    <t>пгт Козлово, ул. Стадиона, д. 16</t>
  </si>
  <si>
    <t>г. Конаково, ул. Горького, д. 4</t>
  </si>
  <si>
    <t>г. Конаково, пр-д Торговый, д. 2</t>
  </si>
  <si>
    <t>пгт Изоплит, ул. Пионерская, д. 3</t>
  </si>
  <si>
    <t>г. Осташков, пер. Л. Толстого, д. 1Б</t>
  </si>
  <si>
    <t>г. Осташков, Линейный пр-д, д. 4</t>
  </si>
  <si>
    <t>г. Осташков, Линейный пр-д, д. 7</t>
  </si>
  <si>
    <t>г. Осташков, ул. Володарского, д. 87</t>
  </si>
  <si>
    <t>г. Осташков, ул. Загородная, д. 26Б</t>
  </si>
  <si>
    <t>д. Новые Ельцы, д. 26</t>
  </si>
  <si>
    <t>г. Ржев, Ленинградское ш., д. 17</t>
  </si>
  <si>
    <t>г. Ржев, ул.Чернышевского, д. 8</t>
  </si>
  <si>
    <t>г. Ржев, ул. Т.Филиппова, д. 65</t>
  </si>
  <si>
    <t>г. Ржев, ул. Никиты Головни, д. 29</t>
  </si>
  <si>
    <t>г. Ржев, ул. Центральная, д. 12</t>
  </si>
  <si>
    <t>г. Ржев, ул. Центральная, д. 3</t>
  </si>
  <si>
    <t>г. Ржев, ул. Никольская, д. 75</t>
  </si>
  <si>
    <t>г. Ржев, ул. Чернышевского, д. 8</t>
  </si>
  <si>
    <t>г. Ржев, п. Нижний Бор, д. 4</t>
  </si>
  <si>
    <t>г. Ржев, ул. Партизанская, д. 21/13</t>
  </si>
  <si>
    <t>г. Ржев, ул. Разина, д. 11</t>
  </si>
  <si>
    <t>г. Старица, ул. Карла Маркса, д. 62</t>
  </si>
  <si>
    <t>г. Старица, ул. Адмирала Корнилова, д. 24</t>
  </si>
  <si>
    <t>г. Удомля, ул. Левитана, д. 3А</t>
  </si>
  <si>
    <t>пгт Оленино, ул. Заводская, д. 3</t>
  </si>
  <si>
    <t>пгт Оленино, ул. Крестьянская, д. 11</t>
  </si>
  <si>
    <t>пгт Оленино, ул. Крестьянская, д. 19</t>
  </si>
  <si>
    <t>пгт Оленино, ул. Октябрьская, д. 23</t>
  </si>
  <si>
    <t>пгт Оленино, ул. Пионерская, д. 4А</t>
  </si>
  <si>
    <t>пгт Оленино, ул. Пионерская, д. 5</t>
  </si>
  <si>
    <t>пгт Оленино, ул. Пионерская, д. 7</t>
  </si>
  <si>
    <t>пгт Оленино, ул. Пушкина, д. 5/2</t>
  </si>
  <si>
    <t>пгт Оленино, ул. Чехова, д. 21</t>
  </si>
  <si>
    <t>пгт Оленино, ул. Чехова, д. 22</t>
  </si>
  <si>
    <t>пгт Оленино, ул. Чехова, д. 23</t>
  </si>
  <si>
    <t>п. Мирный, ул. Озерная, д. 12</t>
  </si>
  <si>
    <t>п. Мирный, ул.  Г.Кольцова, д. 1</t>
  </si>
  <si>
    <t>п. Мирный, ул. Солнечная, д. 3</t>
  </si>
  <si>
    <t>пгт Озерный, пер. Тверской, д. 3</t>
  </si>
  <si>
    <t>г.Андреаполь, ул. Советская, д. 51</t>
  </si>
  <si>
    <t>г. Бежецк, Рабочий городок, д. 3</t>
  </si>
  <si>
    <t>г. Бежецк, д. Пестиха, д. 1</t>
  </si>
  <si>
    <t>г. Бежецк, ул.Инженерная, д. 1</t>
  </si>
  <si>
    <t>г. Весьегонск, ул. Молодежная, д. 22</t>
  </si>
  <si>
    <t>пгт Суховерково, пр-т Калинина, д. 5</t>
  </si>
  <si>
    <t>г. Калязин ул.Садовая, д. 1</t>
  </si>
  <si>
    <t>г. Лихославль, пер. Свободный, д. 6</t>
  </si>
  <si>
    <t>г. Осташков, ул. М.Горького, д. 29</t>
  </si>
  <si>
    <t>г. Ржев, Фабричный пр., д. 8</t>
  </si>
  <si>
    <t>г. Ржев, ул. Чайковского, д. 5</t>
  </si>
  <si>
    <t>г. Ржев, ул. Б.Спасская, д. 13</t>
  </si>
  <si>
    <t>г. Ржев, ул. Гагарина, д. 69А</t>
  </si>
  <si>
    <t>г. Ржев, ул. Садовая, д. 19</t>
  </si>
  <si>
    <t>г. Ржев, ул. Центральная, д. 1</t>
  </si>
  <si>
    <t>г. Ржев, ул. Телешева, д. 4</t>
  </si>
  <si>
    <t>г. Ржев, ул. Елисеева, д. 26</t>
  </si>
  <si>
    <t>д. Итомля, д. 41</t>
  </si>
  <si>
    <t>г. Старица, ул. Пионерская, д. 1А</t>
  </si>
  <si>
    <t>г. Торжок, ул. Зеленый городок, д. 7А</t>
  </si>
  <si>
    <t>г. Торжок, ул. Кузнечная, д. 8</t>
  </si>
  <si>
    <t>г. Торжок, ул. Вокзальная, д. 29</t>
  </si>
  <si>
    <t>г. Бежецк, ул.Чехова, д. 3</t>
  </si>
  <si>
    <t>г. Бежецк, ул. Чехова, д. 3</t>
  </si>
  <si>
    <t>г. Бежецк, ул. им.М.Чудова, д. 1А</t>
  </si>
  <si>
    <t>г. Бежецк, пер. Молодежный, д. 3</t>
  </si>
  <si>
    <t>г.Калязин, ул.Центральная, д. 14</t>
  </si>
  <si>
    <t>г. Осташков, ул.Рабочая, д. 50</t>
  </si>
  <si>
    <t>г. Осташков, н.п. Микрорайон, д. 2</t>
  </si>
  <si>
    <t>г. Осташков, д. Хитино, д. 20</t>
  </si>
  <si>
    <t>г. Ржев, ул. Б.Спасская, д. 23/52</t>
  </si>
  <si>
    <t>г. Ржев, ул. Маяковского, д. 33</t>
  </si>
  <si>
    <t>г. Ржев, ул. Профсоюзная, д. 3</t>
  </si>
  <si>
    <t>г. Ржев, ул. Академика Обручева, д. 94</t>
  </si>
  <si>
    <t>г. Ржев, ул. Александра Фролова, д. 47</t>
  </si>
  <si>
    <t>г. Ржев, Осташковский пр-д, д. 9</t>
  </si>
  <si>
    <t>г. Ржев, Советская площадь, д. 1/4</t>
  </si>
  <si>
    <t>г. Ржев, ул. Текстильщиков, д. 23</t>
  </si>
  <si>
    <t>ст. Старица, ул. Советская, д. 52</t>
  </si>
  <si>
    <t>г. Тверь, ул. Громова, д. 48 корпус 1</t>
  </si>
  <si>
    <t>г. Тверь, ул. Зинаиды Коноплянниковой, д. 13</t>
  </si>
  <si>
    <t>г. Тверь, ул. Вагжанова, д. 16</t>
  </si>
  <si>
    <t>г. Тверь, пер. Свободный, д. 1Г</t>
  </si>
  <si>
    <t>г. Тверь, ул. Кирова, д. 5А</t>
  </si>
  <si>
    <t>г. Тверь, ул. Железнодорожников, д. 28</t>
  </si>
  <si>
    <t>г. Тверь, ул. 15 лет Октября, д. 47</t>
  </si>
  <si>
    <t>г. Тверь, ул.Коробкова, д. 13</t>
  </si>
  <si>
    <t>г. Тверь, ул.Седова, д. 120А</t>
  </si>
  <si>
    <t>г. Тверь, ул. Восстания, д. 11/34</t>
  </si>
  <si>
    <t>г. Тверь, ул. Гвардейская, д. 16</t>
  </si>
  <si>
    <t>г. Тверь, ул. Орджоникидзе, д. 44</t>
  </si>
  <si>
    <t>г. Тверь, ул. Терещенко, д. 26</t>
  </si>
  <si>
    <t>г. Тверь, ул. Богданова, д. 22, корпус 1</t>
  </si>
  <si>
    <t>поселок Химинститута, д. 21</t>
  </si>
  <si>
    <t>г. Тверь, ул.Горького, д. 104</t>
  </si>
  <si>
    <t>г. Тверь, ул. Советская, д. 17</t>
  </si>
  <si>
    <t>г. Андреаполь, ул.Театральная, д. 3</t>
  </si>
  <si>
    <t>г. Андреаполь, ул. Советская, д. 65А</t>
  </si>
  <si>
    <t>г. Бежецк, ул. Л. Толстого, д. 5</t>
  </si>
  <si>
    <t>г. Белый, ул. Карла Маркса, д. 10</t>
  </si>
  <si>
    <t>г. Белый, пер. Детский, д. 10</t>
  </si>
  <si>
    <t>г. Белый, ул. Льнозаводская, д. 33</t>
  </si>
  <si>
    <t>г. Белый, ул. Строителей, д. 13</t>
  </si>
  <si>
    <t>г. Белый, ул. Ленина, д. 10</t>
  </si>
  <si>
    <t>г. Белый,  Карла Маркса, д. 3</t>
  </si>
  <si>
    <t>г. Белый, ул. Ленина, д. 31</t>
  </si>
  <si>
    <t>г. Белый, ул. Кирова, д. 8</t>
  </si>
  <si>
    <t>г. Белый, ул. Ленина, д. 50</t>
  </si>
  <si>
    <t>г. Белый, пл. Карла Маркса, д. 1</t>
  </si>
  <si>
    <t>г. Белый, пер. Аптечный, д. 1</t>
  </si>
  <si>
    <t>г. Белый, ул. Смирнова, д. 16</t>
  </si>
  <si>
    <t>г. Вышний Волочек, ул. Пашинская, д. 11</t>
  </si>
  <si>
    <t>г. Калязин, ул.Декабристов, д. 9</t>
  </si>
  <si>
    <t>г. Калязин, ул.Центральная, д. 10</t>
  </si>
  <si>
    <t xml:space="preserve">г. Калязин, ул.Тверская, д. 17        </t>
  </si>
  <si>
    <t xml:space="preserve">г. Калязин ул.Тверская, д. 15           </t>
  </si>
  <si>
    <t>г. Кашин, ул. Профинтерна, д. 5</t>
  </si>
  <si>
    <t>г. Кашин, ул.Михаила Калинина, д. 24</t>
  </si>
  <si>
    <t>д. Верхняя Троица, ул.Мира, д. 5</t>
  </si>
  <si>
    <t>г. Кашин, ул. Песочная, д. 14/8</t>
  </si>
  <si>
    <t>г. Кашин, ул.наб. Пушкинская, д. 18/1</t>
  </si>
  <si>
    <t>г. Кашин, ул. Ленина, д. 20</t>
  </si>
  <si>
    <t>г. Кашин, ул. Московская, д. 25</t>
  </si>
  <si>
    <t>г. Кашин. ул. Песочная, д. 11/6</t>
  </si>
  <si>
    <t>г. Кашин, ул. Сад Тургенева, д. 5/5</t>
  </si>
  <si>
    <t>г. Кашин, ул. Михаила Калинина, д. 8/3</t>
  </si>
  <si>
    <t>г. Кашин, ул. Песочная, д. 8</t>
  </si>
  <si>
    <t>д. Тетьково, д. 39</t>
  </si>
  <si>
    <t>г. Кашин, ул. Ленина, д. 8/11</t>
  </si>
  <si>
    <t>г. Кашин. ул. Михаила Калинина, д. 5</t>
  </si>
  <si>
    <t>г. Кашин, ул. Советская, д. 17</t>
  </si>
  <si>
    <t>г. Кашин, ул. Михаила Калинина, д. 6</t>
  </si>
  <si>
    <t>д. Тетьково, д. 17</t>
  </si>
  <si>
    <t>пгт Козлово, ул. Дачная, д. 10А</t>
  </si>
  <si>
    <t>пгт Козлово, ул. Дачная, д. 5А</t>
  </si>
  <si>
    <t>пгт Козлово, пер. Дачный, д. 2А</t>
  </si>
  <si>
    <t>г. Конаково, ул. Строителей, д. 20</t>
  </si>
  <si>
    <t>г. Конаково, ул. Гагарина, д. 8</t>
  </si>
  <si>
    <t>г. Лихославль, ул. Лихославльская, д. 51</t>
  </si>
  <si>
    <t>г. Лихославль, пер. Театральный, д. 2</t>
  </si>
  <si>
    <t>г. Осташков, пер. Спорта, д. 1</t>
  </si>
  <si>
    <t>г. Осташков, пр-кт Ленинский, д. 54</t>
  </si>
  <si>
    <t>г. Ржев, ул. Мира, д. 4</t>
  </si>
  <si>
    <t>г. Ржев, ул. Железнодорожная, д. 34</t>
  </si>
  <si>
    <t>г. Ржев, ул. Рижская, д. 4</t>
  </si>
  <si>
    <t>г. Ржев, ул. Пархоменко, 14</t>
  </si>
  <si>
    <t>г. Ржев, ул. Большевистская, д. 1</t>
  </si>
  <si>
    <t>г. Ржев, ул. Никольская, д. 8А</t>
  </si>
  <si>
    <t>г. Ржев, ул. Куприянова, д. 15</t>
  </si>
  <si>
    <t>г. Ржев, ул. Большая Спасская, д. 14</t>
  </si>
  <si>
    <t>г. Ржев, ул. Челюскинцев, д. 16</t>
  </si>
  <si>
    <t>г. Ржев, ул. Мира, д. 20</t>
  </si>
  <si>
    <t>г. Ржев, ул. Академика Обручева, д. 82</t>
  </si>
  <si>
    <t>г. Ржев, ул. Б.Спасская, д. 35/56</t>
  </si>
  <si>
    <t>г. Ржев, ул. Б.Спасская, д. 48/59</t>
  </si>
  <si>
    <t>г. Ржев, ул. Б.Спасская, д. 46</t>
  </si>
  <si>
    <t>г. Ржев, Красноармейская наб., д. 30/1</t>
  </si>
  <si>
    <t>г. Ржев, ул. Б.Спасская, д. 50/70</t>
  </si>
  <si>
    <t>г. Ржев, ул. Б.Спасская, д. 41/65</t>
  </si>
  <si>
    <t>п. Сандово, ул. Советская, д. 20</t>
  </si>
  <si>
    <t>пгт Сонково, ул. Сельхозтехника, д. 1 А</t>
  </si>
  <si>
    <t>г. Старица, ул. Карла Маркса, д. 58</t>
  </si>
  <si>
    <t>д. Лесная, д. 3</t>
  </si>
  <si>
    <t>пгт Оленино, ул. Карла Маркса, д. 11</t>
  </si>
  <si>
    <t>пгт Оленино, ул. Карла Маркса, д. 13</t>
  </si>
  <si>
    <t>пгт Оленино, ул. Пионерская, д. 4</t>
  </si>
  <si>
    <t>пгт Оленино, ул. Пионерская, д. 8</t>
  </si>
  <si>
    <t>пгт Оленино, ул. Пионерская, д. 9</t>
  </si>
  <si>
    <t>г. Бежецк, ул.Чехова, д. 17</t>
  </si>
  <si>
    <t>г. Бежецк, пер.7-ой Штабской, д. 35</t>
  </si>
  <si>
    <t>г. Бежецк, пер.Революционный, д. 10</t>
  </si>
  <si>
    <t>г. Бежецк, ул. Энергетическая, д. 1</t>
  </si>
  <si>
    <t>г. Конаково, ул. Торговый проезд, д. 2</t>
  </si>
  <si>
    <t>п. Мирный, ул. Г.Кольцова, д. 1</t>
  </si>
  <si>
    <t>д. Красное, д. 30</t>
  </si>
  <si>
    <t>д. Красное, д. 32</t>
  </si>
  <si>
    <t>г. Удомля, ул. Левитана д. 3А</t>
  </si>
  <si>
    <t>г. Бежецк, д.Пестиха, д. 1</t>
  </si>
  <si>
    <t>пгт Суховерково, пр-кт Калинина, д. 5</t>
  </si>
  <si>
    <t>г. Калязин, ул.Садовая, д. 1</t>
  </si>
  <si>
    <t>г. Ржев, Садовая, д. 19</t>
  </si>
  <si>
    <t xml:space="preserve">д. Итомля, д. 41 </t>
  </si>
  <si>
    <t>пгт  Жарковский, ул. Доватора, д. 18</t>
  </si>
  <si>
    <t>г. Тверь, ул. Трехсвятская, д. 12</t>
  </si>
  <si>
    <t>г. Тверь, пер. Трудолюбия, д. 37</t>
  </si>
  <si>
    <t>г. Тверь, ул. Вагжанова, д.16</t>
  </si>
  <si>
    <t>г. Тверь, ул. Кирова, д.5А</t>
  </si>
  <si>
    <t>г. Торжок, Тверецкая наб., д. 80</t>
  </si>
  <si>
    <t>г. Вышний Волочек, наб. Валентины Терешковой, 
д. 41</t>
  </si>
  <si>
    <t>реализации в 2026 – 2028 годах региональной программы по проведению капитального ремонта общего имущества</t>
  </si>
  <si>
    <r>
      <t>разработка проектной документации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
</t>
    </r>
  </si>
  <si>
    <t>г.Лихославль, ул.Первомайская, д. 14</t>
  </si>
  <si>
    <t>г. Осташков, пр-т Ленинский, д. 54</t>
  </si>
  <si>
    <t>г. Ржев, ул. Пархоменко, д. 14</t>
  </si>
  <si>
    <t>д. Верхняя Троица, ул. Мира, д. 5</t>
  </si>
  <si>
    <t>* Согласно муниципальному краткосрочному плану реализации в 2026 – 2028 годах региональной программы, утвержденному постановлением администрации муниципального образования городской округ город Торжок Тверской области от 05.11.2025 № 388 (реализация краткосрочного плана будет осуществляться в соответствии с частью 2 статьи 2 закона Тверской области от 08.12.2025 № 65-ЗО «О преобразовании муниципальных образований Тверской области путем объединения Торжокского муниципального округа и городского округа город Торжок Тверской области и создании вновь образованного муниципального образования с наделением его статусом муниципального округа и внесении изменений в отдельные законы Тверской области»).</t>
  </si>
  <si>
    <t>**  Согласно муниципальному краткосрочному плану реализации в 2026 – 2028 годахрегиональной программы, утвержденному постановлением администрации Торжокского района Тверской области от 10.12.2025 № 323 (реализация краткосрочного плана будет осуществляться в соответствии с частью 2 статьи 2 закона Тверской области от 08.12.2025 № 65-ЗО «О преобразовании муниципальных образований Тверской области путем объединения Торжокского муниципального округа и городского округа город Торжок Тверской области и создании вновь образованного муниципального образования с наделением его статусом муниципального округа и внесении изменений в отдельные законы Тверской области»).</t>
  </si>
  <si>
    <t>г. Андреаполь, ул. Советская, д. 51</t>
  </si>
  <si>
    <t>ул. М. Горького, д. 29</t>
  </si>
  <si>
    <t>г. Ржев, Фабричный пр-д, д. 8</t>
  </si>
  <si>
    <t>г. Ржев, ул.Телешева, д. 4</t>
  </si>
  <si>
    <t>г. Калязин, ул. Центральная, д. 14</t>
  </si>
  <si>
    <t>д. Мокшино, ул. Парковая, д. 5</t>
  </si>
  <si>
    <t>г. Тверь, ул. Громова, д. 48, корпус 1</t>
  </si>
  <si>
    <t>г. Тверь, ул. Коробкова, д. 13</t>
  </si>
  <si>
    <t>г. Тверь, ул. Седова, д. 120А</t>
  </si>
  <si>
    <t>г. Тверь, пер. Садовый, д. 20</t>
  </si>
  <si>
    <t>г. Тверь, ул. Мусоргского, д. 36А</t>
  </si>
  <si>
    <t>г. Тверь, ул. Фрунзе, д. 6</t>
  </si>
  <si>
    <t>г. Тверь, ул. Горького, д. 104</t>
  </si>
  <si>
    <t>г. Тверь, ул. Орджоникидзе, д. 22/25</t>
  </si>
  <si>
    <t>г. Андреаполь, ул. Театральная, д. 3</t>
  </si>
  <si>
    <t xml:space="preserve">г. Калязин, ул. Тверская, д. 17        </t>
  </si>
  <si>
    <t xml:space="preserve">г. Калязин ул. Тверская, д. 15           </t>
  </si>
  <si>
    <t>г. Кашин, ул. Михаила Калинина, д. 24</t>
  </si>
  <si>
    <t>г. Кашин, ул. Песочная, д. 16/7</t>
  </si>
  <si>
    <t>г. Кашин, ул. Заводская, д. 12</t>
  </si>
  <si>
    <t>пгт Козлово, ул. Прядильщиков, д. 18</t>
  </si>
  <si>
    <r>
      <rPr>
        <vertAlign val="superscript"/>
        <sz val="16"/>
        <rFont val="Times New Roman"/>
        <family val="1"/>
        <charset val="204"/>
      </rPr>
      <t xml:space="preserve">1 </t>
    </r>
    <r>
      <rPr>
        <sz val="16"/>
        <rFont val="Times New Roman"/>
        <family val="1"/>
        <charset val="204"/>
      </rPr>
      <t xml:space="preserve"> В том числе ремонт внутридомовых инженерных систем теплоснабжения, а также установка, ремонт или замена в комплексе оборудования индивидуальных тепловых пунктов и при наличии повысительных насосных установок.</t>
    </r>
  </si>
  <si>
    <r>
      <rPr>
        <vertAlign val="superscript"/>
        <sz val="16"/>
        <rFont val="Times New Roman"/>
        <family val="1"/>
        <charset val="204"/>
      </rPr>
      <t>2</t>
    </r>
    <r>
      <rPr>
        <sz val="16"/>
        <rFont val="Times New Roman"/>
        <family val="1"/>
        <charset val="204"/>
      </rPr>
      <t xml:space="preserve"> 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 (тепловой энергии, горячей и холодной воды, газа).</t>
    </r>
  </si>
  <si>
    <r>
      <rPr>
        <vertAlign val="superscript"/>
        <sz val="16"/>
        <rFont val="Times New Roman"/>
        <family val="1"/>
        <charset val="204"/>
      </rPr>
      <t>3</t>
    </r>
    <r>
      <rPr>
        <sz val="16"/>
        <rFont val="Times New Roman"/>
        <family val="1"/>
        <charset val="204"/>
      </rPr>
      <t xml:space="preserve"> В том числе</t>
    </r>
    <r>
      <rPr>
        <vertAlign val="superscript"/>
        <sz val="16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>установка, ремонт систем коллективного приема телевидения для обеспечения приема и распределения в многоквартирных домах радиосигналов цифрового эфирного телевизионного вещания.</t>
    </r>
  </si>
  <si>
    <r>
      <rPr>
        <vertAlign val="superscript"/>
        <sz val="16"/>
        <rFont val="Times New Roman"/>
        <family val="1"/>
        <charset val="204"/>
      </rPr>
      <t xml:space="preserve">4 </t>
    </r>
    <r>
      <rPr>
        <sz val="16"/>
        <rFont val="Times New Roman"/>
        <family val="1"/>
        <charset val="204"/>
      </rPr>
      <t>Разработка проектной документации, проведение экспертизы проектной документации (в случае если разработка проектной документации, проведение экспертизы проектной документации необходимы в соответствии с законодательством о градостроительной деятельности), а также проведение в случаях, предусмотренных законодательством, государственной историко-культурной экспертизы проектной документации, проведение проверки сметной стоимости капитального ремонта на выполнение работ по сохранению объектов культурного наследия (памятников истории и культуры) народов Российской Федерации (далее - объекты культурного наследия), являющихся многоквартирными домами, в случае проведения работ по капитальному ремонту общего имущества в многоквартирных домах, являющихся объектами культурного наследия, выявленными объектами культурного наследия.</t>
    </r>
  </si>
  <si>
    <t xml:space="preserve">Приложение
к  постановлению  Правительства 
Тверской области
от 10.02.2026 № 51-пп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</si>
</sst>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р_._-;\-* #,##0.00_р_._-;_-* &quot;-&quot;??_р_._-;_-@_-"/>
    <numFmt numFmtId="164" formatCode="_-* #,##0.00\ _₽_-;\-* #,##0.00\ _₽_-;_-* &quot;-&quot;??\ _₽_-;_-@_-"/>
    <numFmt numFmtId="165" formatCode="0.00000"/>
    <numFmt numFmtId="166" formatCode="0.0"/>
    <numFmt numFmtId="167" formatCode="#,##0.00\ _₽"/>
    <numFmt numFmtId="168" formatCode="\ #,##0&quot;    &quot;;\-#,##0&quot;    &quot;;&quot; -&quot;#&quot;    &quot;;@\ "/>
    <numFmt numFmtId="169" formatCode="\ #,##0.00&quot;    &quot;;\-#,##0.00&quot;    &quot;;&quot; -&quot;#&quot;    &quot;;@\ "/>
    <numFmt numFmtId="170" formatCode="0.00;\-0.00"/>
    <numFmt numFmtId="171" formatCode="#,##0.0"/>
  </numFmts>
  <fonts count="2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1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vertAlign val="superscript"/>
      <sz val="12"/>
      <name val="Times New Roman"/>
      <family val="1"/>
      <charset val="204"/>
    </font>
    <font>
      <sz val="14"/>
      <name val="Times New Roman1"/>
      <charset val="204"/>
    </font>
    <font>
      <sz val="20"/>
      <name val="Times New Roman"/>
      <family val="1"/>
      <charset val="204"/>
    </font>
    <font>
      <sz val="20"/>
      <name val="Calibri"/>
      <family val="2"/>
      <charset val="204"/>
      <scheme val="minor"/>
    </font>
    <font>
      <sz val="16"/>
      <name val="Times New Roman"/>
      <family val="1"/>
      <charset val="204"/>
    </font>
    <font>
      <vertAlign val="superscript"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2" fillId="0" borderId="0"/>
    <xf numFmtId="0" fontId="13" fillId="0" borderId="0"/>
  </cellStyleXfs>
  <cellXfs count="232">
    <xf numFmtId="0" fontId="0" fillId="0" borderId="0" xfId="0"/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164" fontId="4" fillId="0" borderId="1" xfId="8" applyFont="1" applyFill="1" applyBorder="1" applyAlignment="1">
      <alignment horizontal="center" vertical="center" wrapText="1"/>
    </xf>
    <xf numFmtId="4" fontId="4" fillId="0" borderId="1" xfId="8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" fontId="4" fillId="0" borderId="1" xfId="1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left" vertical="center"/>
    </xf>
    <xf numFmtId="4" fontId="4" fillId="0" borderId="1" xfId="0" applyNumberFormat="1" applyFont="1" applyBorder="1" applyAlignment="1">
      <alignment vertical="center"/>
    </xf>
    <xf numFmtId="2" fontId="4" fillId="0" borderId="4" xfId="0" applyNumberFormat="1" applyFont="1" applyBorder="1" applyAlignment="1">
      <alignment horizontal="left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4" fontId="4" fillId="0" borderId="1" xfId="8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67" fontId="4" fillId="0" borderId="4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 wrapText="1"/>
    </xf>
    <xf numFmtId="0" fontId="4" fillId="0" borderId="1" xfId="8" applyNumberFormat="1" applyFont="1" applyFill="1" applyBorder="1" applyAlignment="1" applyProtection="1">
      <alignment horizontal="center" vertical="center"/>
    </xf>
    <xf numFmtId="0" fontId="4" fillId="0" borderId="1" xfId="8" applyNumberFormat="1" applyFont="1" applyFill="1" applyBorder="1" applyAlignment="1" applyProtection="1">
      <alignment horizontal="center"/>
    </xf>
    <xf numFmtId="0" fontId="4" fillId="0" borderId="1" xfId="0" applyFont="1" applyBorder="1" applyAlignment="1">
      <alignment horizontal="justify" vertical="center"/>
    </xf>
    <xf numFmtId="4" fontId="6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top"/>
    </xf>
    <xf numFmtId="1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4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171" fontId="8" fillId="0" borderId="0" xfId="0" applyNumberFormat="1" applyFont="1"/>
    <xf numFmtId="3" fontId="8" fillId="0" borderId="0" xfId="0" applyNumberFormat="1" applyFont="1"/>
    <xf numFmtId="1" fontId="8" fillId="0" borderId="0" xfId="0" applyNumberFormat="1" applyFont="1"/>
    <xf numFmtId="0" fontId="11" fillId="0" borderId="0" xfId="0" applyFont="1" applyAlignment="1">
      <alignment horizontal="right"/>
    </xf>
    <xf numFmtId="3" fontId="4" fillId="0" borderId="1" xfId="0" applyNumberFormat="1" applyFont="1" applyBorder="1" applyAlignment="1">
      <alignment horizontal="center" vertical="center"/>
    </xf>
    <xf numFmtId="2" fontId="4" fillId="0" borderId="1" xfId="9" applyNumberFormat="1" applyFont="1" applyBorder="1"/>
    <xf numFmtId="2" fontId="4" fillId="0" borderId="1" xfId="9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" xfId="10" applyFont="1" applyBorder="1" applyAlignment="1">
      <alignment horizontal="left" vertical="center" wrapText="1"/>
    </xf>
    <xf numFmtId="164" fontId="4" fillId="0" borderId="1" xfId="8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/>
    <xf numFmtId="43" fontId="4" fillId="0" borderId="1" xfId="8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1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2" fontId="7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168" fontId="4" fillId="0" borderId="14" xfId="8" applyNumberFormat="1" applyFont="1" applyFill="1" applyBorder="1" applyAlignment="1" applyProtection="1">
      <alignment horizontal="center" wrapText="1"/>
    </xf>
    <xf numFmtId="0" fontId="4" fillId="0" borderId="4" xfId="0" applyFont="1" applyBorder="1" applyAlignment="1">
      <alignment horizontal="center"/>
    </xf>
    <xf numFmtId="43" fontId="4" fillId="0" borderId="1" xfId="0" applyNumberFormat="1" applyFont="1" applyBorder="1" applyAlignment="1">
      <alignment horizontal="center" vertical="center"/>
    </xf>
    <xf numFmtId="0" fontId="4" fillId="0" borderId="1" xfId="9" applyFont="1" applyBorder="1" applyAlignment="1">
      <alignment horizontal="left" vertical="top" wrapText="1"/>
    </xf>
    <xf numFmtId="169" fontId="4" fillId="0" borderId="14" xfId="8" applyNumberFormat="1" applyFont="1" applyFill="1" applyBorder="1" applyAlignment="1" applyProtection="1">
      <alignment vertical="center"/>
    </xf>
    <xf numFmtId="0" fontId="4" fillId="0" borderId="14" xfId="8" applyNumberFormat="1" applyFont="1" applyFill="1" applyBorder="1" applyAlignment="1" applyProtection="1">
      <alignment horizontal="center" vertical="center"/>
    </xf>
    <xf numFmtId="0" fontId="4" fillId="0" borderId="14" xfId="8" applyNumberFormat="1" applyFont="1" applyFill="1" applyBorder="1" applyAlignment="1" applyProtection="1">
      <alignment horizontal="center"/>
    </xf>
    <xf numFmtId="4" fontId="4" fillId="0" borderId="1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15" xfId="0" applyFont="1" applyBorder="1" applyAlignment="1">
      <alignment horizontal="justify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165" fontId="7" fillId="0" borderId="0" xfId="0" applyNumberFormat="1" applyFont="1" applyAlignment="1">
      <alignment wrapText="1"/>
    </xf>
    <xf numFmtId="165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6" fillId="0" borderId="1" xfId="0" applyNumberFormat="1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5" fillId="0" borderId="1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4" fontId="4" fillId="0" borderId="1" xfId="9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4" fontId="4" fillId="0" borderId="1" xfId="0" applyNumberFormat="1" applyFont="1" applyBorder="1" applyAlignment="1">
      <alignment vertical="center" wrapText="1"/>
    </xf>
    <xf numFmtId="0" fontId="4" fillId="0" borderId="1" xfId="9" applyFont="1" applyBorder="1" applyAlignment="1">
      <alignment horizontal="left" vertical="center" wrapText="1"/>
    </xf>
    <xf numFmtId="4" fontId="15" fillId="0" borderId="0" xfId="0" applyNumberFormat="1" applyFont="1"/>
    <xf numFmtId="169" fontId="17" fillId="0" borderId="14" xfId="8" applyNumberFormat="1" applyFont="1" applyFill="1" applyBorder="1" applyAlignment="1" applyProtection="1">
      <alignment vertical="center"/>
    </xf>
    <xf numFmtId="0" fontId="15" fillId="0" borderId="0" xfId="0" applyFont="1" applyAlignment="1">
      <alignment horizontal="center"/>
    </xf>
    <xf numFmtId="4" fontId="4" fillId="0" borderId="15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71" fontId="9" fillId="0" borderId="1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0" xfId="0" applyFont="1"/>
    <xf numFmtId="0" fontId="9" fillId="0" borderId="1" xfId="0" applyFont="1" applyBorder="1"/>
    <xf numFmtId="0" fontId="19" fillId="0" borderId="0" xfId="0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70" fontId="4" fillId="0" borderId="1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textRotation="90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0" fillId="0" borderId="0" xfId="0" applyFont="1" applyAlignment="1">
      <alignment vertical="top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171" fontId="9" fillId="0" borderId="1" xfId="0" applyNumberFormat="1" applyFont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8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</cellXfs>
  <cellStyles count="11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5"/>
    <cellStyle name="Обычный 6" xfId="6"/>
    <cellStyle name="Обычный 7" xfId="7"/>
    <cellStyle name="Обычный 8" xfId="9"/>
    <cellStyle name="Обычный_Лист1" xfId="10"/>
    <cellStyle name="Финансовый" xfId="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U923"/>
  <sheetViews>
    <sheetView view="pageBreakPreview" zoomScale="50" zoomScaleNormal="120" zoomScaleSheetLayoutView="50" workbookViewId="0">
      <selection activeCell="A5" sqref="A5:R5"/>
    </sheetView>
  </sheetViews>
  <sheetFormatPr defaultColWidth="8.85546875" defaultRowHeight="18.75"/>
  <cols>
    <col min="1" max="1" width="6.42578125" style="96" customWidth="1"/>
    <col min="2" max="2" width="63.5703125" style="100" customWidth="1"/>
    <col min="3" max="3" width="14" style="74" customWidth="1"/>
    <col min="4" max="4" width="26.28515625" style="74" customWidth="1"/>
    <col min="5" max="5" width="12.85546875" style="74" customWidth="1"/>
    <col min="6" max="6" width="12.42578125" style="74" customWidth="1"/>
    <col min="7" max="7" width="24.140625" style="101" customWidth="1"/>
    <col min="8" max="8" width="21.140625" style="101" customWidth="1"/>
    <col min="9" max="9" width="20.140625" style="101" customWidth="1"/>
    <col min="10" max="10" width="19.140625" style="101" customWidth="1"/>
    <col min="11" max="11" width="34.85546875" style="101" customWidth="1"/>
    <col min="12" max="12" width="23.7109375" style="101" customWidth="1"/>
    <col min="13" max="13" width="22.28515625" style="101" customWidth="1"/>
    <col min="14" max="14" width="24.5703125" style="101" customWidth="1"/>
    <col min="15" max="15" width="22.85546875" style="101" customWidth="1"/>
    <col min="16" max="16" width="13.85546875" style="101" customWidth="1"/>
    <col min="17" max="17" width="15.5703125" style="101" customWidth="1"/>
    <col min="18" max="18" width="23.7109375" style="101" customWidth="1"/>
    <col min="19" max="19" width="15.7109375" style="101" customWidth="1"/>
    <col min="20" max="20" width="25.28515625" style="74" customWidth="1"/>
    <col min="21" max="21" width="28.85546875" style="74" customWidth="1"/>
    <col min="22" max="22" width="23.140625" style="75" customWidth="1"/>
    <col min="23" max="16384" width="8.85546875" style="75"/>
  </cols>
  <sheetData>
    <row r="1" spans="1:21" s="141" customFormat="1" ht="115.5" customHeight="1">
      <c r="A1" s="137"/>
      <c r="B1" s="138"/>
      <c r="C1" s="139"/>
      <c r="D1" s="139"/>
      <c r="E1" s="139"/>
      <c r="F1" s="139"/>
      <c r="G1" s="140"/>
      <c r="H1" s="140"/>
      <c r="I1" s="140"/>
      <c r="J1" s="140"/>
      <c r="K1" s="140"/>
      <c r="L1" s="140"/>
      <c r="M1" s="140"/>
      <c r="N1" s="169" t="s">
        <v>895</v>
      </c>
      <c r="O1" s="169"/>
      <c r="P1" s="169"/>
      <c r="Q1" s="169"/>
      <c r="R1" s="169"/>
      <c r="S1" s="140"/>
      <c r="T1" s="139"/>
      <c r="U1" s="139"/>
    </row>
    <row r="2" spans="1:21" s="141" customFormat="1" ht="76.5" customHeight="1">
      <c r="A2" s="137"/>
      <c r="B2" s="138"/>
      <c r="C2" s="139"/>
      <c r="D2" s="139"/>
      <c r="E2" s="139"/>
      <c r="F2" s="139"/>
      <c r="G2" s="140"/>
      <c r="H2" s="140"/>
      <c r="I2" s="140"/>
      <c r="J2" s="140"/>
      <c r="K2" s="140"/>
      <c r="L2" s="140"/>
      <c r="M2" s="140"/>
      <c r="N2" s="170" t="s">
        <v>448</v>
      </c>
      <c r="O2" s="170"/>
      <c r="P2" s="170"/>
      <c r="Q2" s="170"/>
      <c r="R2" s="170"/>
      <c r="S2" s="140"/>
      <c r="T2" s="139"/>
      <c r="U2" s="139"/>
    </row>
    <row r="3" spans="1:21" s="143" customFormat="1" ht="40.5" customHeight="1">
      <c r="A3" s="168" t="s">
        <v>24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45"/>
      <c r="T3" s="142"/>
      <c r="U3" s="142"/>
    </row>
    <row r="4" spans="1:21" s="143" customFormat="1" ht="41.25" customHeight="1">
      <c r="A4" s="168" t="s">
        <v>862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45"/>
      <c r="T4" s="142"/>
      <c r="U4" s="142"/>
    </row>
    <row r="5" spans="1:21" s="143" customFormat="1" ht="42" customHeight="1">
      <c r="A5" s="168" t="s">
        <v>644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45"/>
      <c r="T5" s="142"/>
      <c r="U5" s="142"/>
    </row>
    <row r="6" spans="1:21" ht="84.75" customHeight="1">
      <c r="A6" s="176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31"/>
    </row>
    <row r="7" spans="1:21" ht="59.25" customHeight="1">
      <c r="A7" s="177" t="s">
        <v>25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8"/>
    </row>
    <row r="8" spans="1:21" ht="40.5" customHeight="1">
      <c r="A8" s="179" t="s">
        <v>0</v>
      </c>
      <c r="B8" s="179" t="s">
        <v>647</v>
      </c>
      <c r="C8" s="173" t="s">
        <v>43</v>
      </c>
      <c r="D8" s="173" t="s">
        <v>10</v>
      </c>
      <c r="E8" s="173" t="s">
        <v>11</v>
      </c>
      <c r="F8" s="173" t="s">
        <v>12</v>
      </c>
      <c r="G8" s="171" t="s">
        <v>13</v>
      </c>
      <c r="H8" s="161" t="s">
        <v>478</v>
      </c>
      <c r="I8" s="163"/>
      <c r="J8" s="171" t="s">
        <v>14</v>
      </c>
      <c r="K8" s="183" t="s">
        <v>21</v>
      </c>
      <c r="L8" s="184"/>
      <c r="M8" s="184"/>
      <c r="N8" s="184"/>
      <c r="O8" s="184"/>
      <c r="P8" s="184"/>
      <c r="Q8" s="185"/>
      <c r="R8" s="164" t="s">
        <v>480</v>
      </c>
      <c r="S8" s="164"/>
    </row>
    <row r="9" spans="1:21" ht="27.75" customHeight="1">
      <c r="A9" s="180"/>
      <c r="B9" s="180"/>
      <c r="C9" s="174"/>
      <c r="D9" s="174"/>
      <c r="E9" s="174"/>
      <c r="F9" s="174"/>
      <c r="G9" s="182"/>
      <c r="H9" s="171" t="s">
        <v>32</v>
      </c>
      <c r="I9" s="171" t="s">
        <v>15</v>
      </c>
      <c r="J9" s="182"/>
      <c r="K9" s="179" t="s">
        <v>32</v>
      </c>
      <c r="L9" s="164" t="s">
        <v>16</v>
      </c>
      <c r="M9" s="164"/>
      <c r="N9" s="164"/>
      <c r="O9" s="164"/>
      <c r="P9" s="164"/>
      <c r="Q9" s="164"/>
      <c r="R9" s="164"/>
      <c r="S9" s="164"/>
    </row>
    <row r="10" spans="1:21" ht="278.25" customHeight="1">
      <c r="A10" s="180"/>
      <c r="B10" s="180"/>
      <c r="C10" s="174"/>
      <c r="D10" s="174"/>
      <c r="E10" s="174"/>
      <c r="F10" s="174"/>
      <c r="G10" s="172"/>
      <c r="H10" s="172"/>
      <c r="I10" s="172"/>
      <c r="J10" s="172"/>
      <c r="K10" s="181"/>
      <c r="L10" s="130" t="s">
        <v>23</v>
      </c>
      <c r="M10" s="130" t="s">
        <v>17</v>
      </c>
      <c r="N10" s="130" t="s">
        <v>22</v>
      </c>
      <c r="O10" s="130" t="s">
        <v>44</v>
      </c>
      <c r="P10" s="130" t="s">
        <v>29</v>
      </c>
      <c r="Q10" s="130" t="s">
        <v>30</v>
      </c>
      <c r="R10" s="167" t="s">
        <v>479</v>
      </c>
      <c r="S10" s="167" t="s">
        <v>36</v>
      </c>
    </row>
    <row r="11" spans="1:21" ht="30.75" customHeight="1">
      <c r="A11" s="181"/>
      <c r="B11" s="181"/>
      <c r="C11" s="175"/>
      <c r="D11" s="175"/>
      <c r="E11" s="175"/>
      <c r="F11" s="175"/>
      <c r="G11" s="128" t="s">
        <v>2</v>
      </c>
      <c r="H11" s="128" t="s">
        <v>2</v>
      </c>
      <c r="I11" s="128" t="s">
        <v>2</v>
      </c>
      <c r="J11" s="128" t="s">
        <v>18</v>
      </c>
      <c r="K11" s="128" t="s">
        <v>1</v>
      </c>
      <c r="L11" s="128" t="s">
        <v>1</v>
      </c>
      <c r="M11" s="128" t="s">
        <v>1</v>
      </c>
      <c r="N11" s="128" t="s">
        <v>1</v>
      </c>
      <c r="O11" s="128" t="s">
        <v>1</v>
      </c>
      <c r="P11" s="128" t="s">
        <v>1</v>
      </c>
      <c r="Q11" s="128" t="s">
        <v>1</v>
      </c>
      <c r="R11" s="167"/>
      <c r="S11" s="167"/>
    </row>
    <row r="12" spans="1:21">
      <c r="A12" s="76">
        <v>1</v>
      </c>
      <c r="B12" s="76">
        <v>2</v>
      </c>
      <c r="C12" s="95">
        <v>3</v>
      </c>
      <c r="D12" s="95">
        <v>4</v>
      </c>
      <c r="E12" s="95">
        <v>5</v>
      </c>
      <c r="F12" s="95">
        <v>6</v>
      </c>
      <c r="G12" s="133">
        <v>7</v>
      </c>
      <c r="H12" s="133">
        <v>8</v>
      </c>
      <c r="I12" s="133">
        <v>9</v>
      </c>
      <c r="J12" s="133">
        <v>10</v>
      </c>
      <c r="K12" s="133">
        <v>11</v>
      </c>
      <c r="L12" s="133">
        <v>12</v>
      </c>
      <c r="M12" s="133">
        <v>13</v>
      </c>
      <c r="N12" s="133">
        <v>14</v>
      </c>
      <c r="O12" s="133">
        <v>15</v>
      </c>
      <c r="P12" s="133">
        <v>16</v>
      </c>
      <c r="Q12" s="133">
        <v>17</v>
      </c>
      <c r="R12" s="133">
        <v>18</v>
      </c>
      <c r="S12" s="133">
        <v>19</v>
      </c>
    </row>
    <row r="13" spans="1:21" ht="24" customHeight="1">
      <c r="A13" s="164" t="s">
        <v>645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</row>
    <row r="14" spans="1:21" ht="18.75" customHeight="1">
      <c r="A14" s="164" t="s">
        <v>328</v>
      </c>
      <c r="B14" s="164"/>
      <c r="C14" s="164"/>
      <c r="D14" s="164"/>
      <c r="E14" s="164"/>
      <c r="F14" s="164"/>
      <c r="G14" s="37">
        <f t="shared" ref="G14:Q14" si="0">G16+G171</f>
        <v>277590.74</v>
      </c>
      <c r="H14" s="146">
        <f t="shared" si="0"/>
        <v>242993.58</v>
      </c>
      <c r="I14" s="146">
        <f t="shared" si="0"/>
        <v>241195.72999999998</v>
      </c>
      <c r="J14" s="78">
        <f t="shared" si="0"/>
        <v>10115</v>
      </c>
      <c r="K14" s="8">
        <f t="shared" si="0"/>
        <v>1176999323</v>
      </c>
      <c r="L14" s="2">
        <f t="shared" si="0"/>
        <v>0</v>
      </c>
      <c r="M14" s="2">
        <f t="shared" si="0"/>
        <v>0</v>
      </c>
      <c r="N14" s="146">
        <f t="shared" si="0"/>
        <v>1176999323</v>
      </c>
      <c r="O14" s="2">
        <f t="shared" si="0"/>
        <v>0</v>
      </c>
      <c r="P14" s="2">
        <f t="shared" si="0"/>
        <v>0</v>
      </c>
      <c r="Q14" s="2">
        <f t="shared" si="0"/>
        <v>0</v>
      </c>
      <c r="R14" s="133" t="s">
        <v>52</v>
      </c>
      <c r="S14" s="133" t="s">
        <v>52</v>
      </c>
    </row>
    <row r="15" spans="1:21" ht="36.75" customHeight="1">
      <c r="A15" s="164" t="s">
        <v>646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47"/>
    </row>
    <row r="16" spans="1:21" ht="18.75" customHeight="1">
      <c r="A16" s="161" t="s">
        <v>328</v>
      </c>
      <c r="B16" s="162"/>
      <c r="C16" s="162"/>
      <c r="D16" s="162"/>
      <c r="E16" s="162"/>
      <c r="F16" s="163"/>
      <c r="G16" s="37">
        <f t="shared" ref="G16:Q16" si="1">G17+G153+G31+G34+G36+G39+G48+G51+G58+G60+G70+G72+G76+G86+G90+G94+G96+G98+G118+G122+G125+G127+G134+G146+G148+G156+G160+G168</f>
        <v>252851.55999999997</v>
      </c>
      <c r="H16" s="37">
        <f t="shared" si="1"/>
        <v>223205.47999999998</v>
      </c>
      <c r="I16" s="37">
        <f t="shared" si="1"/>
        <v>221407.62999999998</v>
      </c>
      <c r="J16" s="78">
        <f t="shared" si="1"/>
        <v>9338</v>
      </c>
      <c r="K16" s="37">
        <f t="shared" si="1"/>
        <v>1168177893</v>
      </c>
      <c r="L16" s="37">
        <f t="shared" si="1"/>
        <v>0</v>
      </c>
      <c r="M16" s="37">
        <f t="shared" si="1"/>
        <v>0</v>
      </c>
      <c r="N16" s="37">
        <f t="shared" si="1"/>
        <v>1168177893</v>
      </c>
      <c r="O16" s="37">
        <f t="shared" si="1"/>
        <v>0</v>
      </c>
      <c r="P16" s="37">
        <f t="shared" si="1"/>
        <v>0</v>
      </c>
      <c r="Q16" s="37">
        <f t="shared" si="1"/>
        <v>0</v>
      </c>
      <c r="R16" s="133" t="s">
        <v>52</v>
      </c>
      <c r="S16" s="133" t="s">
        <v>52</v>
      </c>
    </row>
    <row r="17" spans="1:20" ht="36.75" customHeight="1">
      <c r="A17" s="158" t="s">
        <v>475</v>
      </c>
      <c r="B17" s="159"/>
      <c r="C17" s="159"/>
      <c r="D17" s="159"/>
      <c r="E17" s="159"/>
      <c r="F17" s="160"/>
      <c r="G17" s="37">
        <f>SUM(G18:G30)</f>
        <v>53734.52</v>
      </c>
      <c r="H17" s="37">
        <f t="shared" ref="H17:Q17" si="2">SUM(H18:H30)</f>
        <v>44835.82</v>
      </c>
      <c r="I17" s="37">
        <f t="shared" si="2"/>
        <v>42634.270000000004</v>
      </c>
      <c r="J17" s="78">
        <f t="shared" si="2"/>
        <v>1959</v>
      </c>
      <c r="K17" s="37">
        <f t="shared" si="2"/>
        <v>261388585.46000001</v>
      </c>
      <c r="L17" s="37">
        <f t="shared" si="2"/>
        <v>0</v>
      </c>
      <c r="M17" s="37">
        <f t="shared" si="2"/>
        <v>0</v>
      </c>
      <c r="N17" s="37">
        <f t="shared" si="2"/>
        <v>261388585.46000001</v>
      </c>
      <c r="O17" s="37">
        <f t="shared" si="2"/>
        <v>0</v>
      </c>
      <c r="P17" s="37">
        <f t="shared" si="2"/>
        <v>0</v>
      </c>
      <c r="Q17" s="37">
        <f t="shared" si="2"/>
        <v>0</v>
      </c>
      <c r="R17" s="133" t="s">
        <v>52</v>
      </c>
      <c r="S17" s="133" t="s">
        <v>52</v>
      </c>
      <c r="T17" s="79"/>
    </row>
    <row r="18" spans="1:20" ht="18.75" customHeight="1">
      <c r="A18" s="76">
        <v>1</v>
      </c>
      <c r="B18" s="121" t="s">
        <v>569</v>
      </c>
      <c r="C18" s="95">
        <v>1979</v>
      </c>
      <c r="D18" s="95" t="s">
        <v>77</v>
      </c>
      <c r="E18" s="95">
        <v>9</v>
      </c>
      <c r="F18" s="95">
        <v>1</v>
      </c>
      <c r="G18" s="8">
        <v>2132.6999999999998</v>
      </c>
      <c r="H18" s="8">
        <v>1914.1</v>
      </c>
      <c r="I18" s="8">
        <f>H18-68.8</f>
        <v>1845.3</v>
      </c>
      <c r="J18" s="133">
        <v>82</v>
      </c>
      <c r="K18" s="8">
        <f>N18</f>
        <v>18649053.599999998</v>
      </c>
      <c r="L18" s="2">
        <v>0</v>
      </c>
      <c r="M18" s="2">
        <v>0</v>
      </c>
      <c r="N18" s="8">
        <v>18649053.599999998</v>
      </c>
      <c r="O18" s="2">
        <v>0</v>
      </c>
      <c r="P18" s="2">
        <v>0</v>
      </c>
      <c r="Q18" s="2">
        <v>0</v>
      </c>
      <c r="R18" s="65" t="s">
        <v>345</v>
      </c>
      <c r="S18" s="65" t="s">
        <v>345</v>
      </c>
    </row>
    <row r="19" spans="1:20" ht="18.75" customHeight="1">
      <c r="A19" s="76">
        <v>2</v>
      </c>
      <c r="B19" s="121" t="s">
        <v>566</v>
      </c>
      <c r="C19" s="95">
        <v>1993</v>
      </c>
      <c r="D19" s="76" t="s">
        <v>75</v>
      </c>
      <c r="E19" s="95">
        <v>9</v>
      </c>
      <c r="F19" s="95">
        <v>1</v>
      </c>
      <c r="G19" s="8">
        <v>4135.2</v>
      </c>
      <c r="H19" s="8">
        <v>3709.2</v>
      </c>
      <c r="I19" s="8">
        <f>H19-264</f>
        <v>3445.2</v>
      </c>
      <c r="J19" s="133">
        <v>115</v>
      </c>
      <c r="K19" s="8">
        <f>N19</f>
        <v>5861773.0599999996</v>
      </c>
      <c r="L19" s="2">
        <v>0</v>
      </c>
      <c r="M19" s="2">
        <v>0</v>
      </c>
      <c r="N19" s="8">
        <v>5861773.0599999996</v>
      </c>
      <c r="O19" s="2">
        <v>0</v>
      </c>
      <c r="P19" s="2">
        <v>0</v>
      </c>
      <c r="Q19" s="2">
        <v>0</v>
      </c>
      <c r="R19" s="65" t="s">
        <v>345</v>
      </c>
      <c r="S19" s="65" t="s">
        <v>345</v>
      </c>
    </row>
    <row r="20" spans="1:20" ht="18.75" customHeight="1">
      <c r="A20" s="76">
        <v>3</v>
      </c>
      <c r="B20" s="121" t="s">
        <v>337</v>
      </c>
      <c r="C20" s="95">
        <v>1978</v>
      </c>
      <c r="D20" s="95" t="s">
        <v>77</v>
      </c>
      <c r="E20" s="95">
        <v>9</v>
      </c>
      <c r="F20" s="95">
        <v>3</v>
      </c>
      <c r="G20" s="8">
        <v>5723.4</v>
      </c>
      <c r="H20" s="8">
        <v>5723.4</v>
      </c>
      <c r="I20" s="8">
        <f>H20-166</f>
        <v>5557.4</v>
      </c>
      <c r="J20" s="133">
        <v>233</v>
      </c>
      <c r="K20" s="8">
        <f t="shared" ref="K20:K30" si="3">N20</f>
        <v>17585319.169999998</v>
      </c>
      <c r="L20" s="2">
        <v>0</v>
      </c>
      <c r="M20" s="2">
        <v>0</v>
      </c>
      <c r="N20" s="8">
        <v>17585319.169999998</v>
      </c>
      <c r="O20" s="2">
        <v>0</v>
      </c>
      <c r="P20" s="2">
        <v>0</v>
      </c>
      <c r="Q20" s="2">
        <v>0</v>
      </c>
      <c r="R20" s="65" t="s">
        <v>345</v>
      </c>
      <c r="S20" s="65" t="s">
        <v>345</v>
      </c>
    </row>
    <row r="21" spans="1:20" ht="18.75" customHeight="1">
      <c r="A21" s="76">
        <v>4</v>
      </c>
      <c r="B21" s="121" t="s">
        <v>568</v>
      </c>
      <c r="C21" s="95">
        <v>1978</v>
      </c>
      <c r="D21" s="95" t="s">
        <v>77</v>
      </c>
      <c r="E21" s="95">
        <v>9</v>
      </c>
      <c r="F21" s="95">
        <v>1</v>
      </c>
      <c r="G21" s="8">
        <v>2226.4</v>
      </c>
      <c r="H21" s="8">
        <v>1995.8</v>
      </c>
      <c r="I21" s="8">
        <f>H21-51.3</f>
        <v>1944.5</v>
      </c>
      <c r="J21" s="133">
        <v>126</v>
      </c>
      <c r="K21" s="8">
        <f t="shared" si="3"/>
        <v>5861773.0599999996</v>
      </c>
      <c r="L21" s="2">
        <v>0</v>
      </c>
      <c r="M21" s="2">
        <v>0</v>
      </c>
      <c r="N21" s="8">
        <v>5861773.0599999996</v>
      </c>
      <c r="O21" s="2">
        <v>0</v>
      </c>
      <c r="P21" s="2">
        <v>0</v>
      </c>
      <c r="Q21" s="2">
        <v>0</v>
      </c>
      <c r="R21" s="65" t="s">
        <v>345</v>
      </c>
      <c r="S21" s="65" t="s">
        <v>345</v>
      </c>
    </row>
    <row r="22" spans="1:20" ht="18.75" customHeight="1">
      <c r="A22" s="76">
        <v>5</v>
      </c>
      <c r="B22" s="121" t="s">
        <v>338</v>
      </c>
      <c r="C22" s="95">
        <v>1979</v>
      </c>
      <c r="D22" s="95" t="s">
        <v>77</v>
      </c>
      <c r="E22" s="95">
        <v>9</v>
      </c>
      <c r="F22" s="95">
        <v>2</v>
      </c>
      <c r="G22" s="8">
        <v>3853.5</v>
      </c>
      <c r="H22" s="8">
        <v>3853.5</v>
      </c>
      <c r="I22" s="8">
        <f>H22-296.75</f>
        <v>3556.75</v>
      </c>
      <c r="J22" s="133">
        <v>158</v>
      </c>
      <c r="K22" s="8">
        <f t="shared" si="3"/>
        <v>11723546.109999999</v>
      </c>
      <c r="L22" s="2">
        <v>0</v>
      </c>
      <c r="M22" s="2">
        <v>0</v>
      </c>
      <c r="N22" s="8">
        <v>11723546.109999999</v>
      </c>
      <c r="O22" s="2">
        <v>0</v>
      </c>
      <c r="P22" s="2">
        <v>0</v>
      </c>
      <c r="Q22" s="2">
        <v>0</v>
      </c>
      <c r="R22" s="65" t="s">
        <v>345</v>
      </c>
      <c r="S22" s="65" t="s">
        <v>345</v>
      </c>
    </row>
    <row r="23" spans="1:20" ht="18.75" customHeight="1">
      <c r="A23" s="76">
        <v>6</v>
      </c>
      <c r="B23" s="121" t="s">
        <v>570</v>
      </c>
      <c r="C23" s="95">
        <v>1977</v>
      </c>
      <c r="D23" s="95" t="s">
        <v>77</v>
      </c>
      <c r="E23" s="95">
        <v>9</v>
      </c>
      <c r="F23" s="95">
        <v>3</v>
      </c>
      <c r="G23" s="8">
        <v>5812.3</v>
      </c>
      <c r="H23" s="8">
        <v>5792.3</v>
      </c>
      <c r="I23" s="8">
        <v>5628.1</v>
      </c>
      <c r="J23" s="133">
        <v>241</v>
      </c>
      <c r="K23" s="8">
        <f t="shared" si="3"/>
        <v>17585319.169999998</v>
      </c>
      <c r="L23" s="2">
        <v>0</v>
      </c>
      <c r="M23" s="2">
        <v>0</v>
      </c>
      <c r="N23" s="8">
        <v>17585319.169999998</v>
      </c>
      <c r="O23" s="2">
        <v>0</v>
      </c>
      <c r="P23" s="2">
        <v>0</v>
      </c>
      <c r="Q23" s="2">
        <v>0</v>
      </c>
      <c r="R23" s="65" t="s">
        <v>345</v>
      </c>
      <c r="S23" s="65" t="s">
        <v>345</v>
      </c>
    </row>
    <row r="24" spans="1:20" ht="18.75" customHeight="1">
      <c r="A24" s="76">
        <v>7</v>
      </c>
      <c r="B24" s="121" t="s">
        <v>339</v>
      </c>
      <c r="C24" s="95">
        <v>1983</v>
      </c>
      <c r="D24" s="95" t="s">
        <v>77</v>
      </c>
      <c r="E24" s="95">
        <v>9</v>
      </c>
      <c r="F24" s="95">
        <v>8</v>
      </c>
      <c r="G24" s="8">
        <v>22419.200000000001</v>
      </c>
      <c r="H24" s="8">
        <v>15908.6</v>
      </c>
      <c r="I24" s="8">
        <f>H24-726.8</f>
        <v>15181.800000000001</v>
      </c>
      <c r="J24" s="133">
        <v>745</v>
      </c>
      <c r="K24" s="8">
        <f t="shared" si="3"/>
        <v>46894184.439999998</v>
      </c>
      <c r="L24" s="2">
        <v>0</v>
      </c>
      <c r="M24" s="2">
        <v>0</v>
      </c>
      <c r="N24" s="8">
        <v>46894184.439999998</v>
      </c>
      <c r="O24" s="2">
        <v>0</v>
      </c>
      <c r="P24" s="2">
        <v>0</v>
      </c>
      <c r="Q24" s="2">
        <v>0</v>
      </c>
      <c r="R24" s="65" t="s">
        <v>345</v>
      </c>
      <c r="S24" s="65" t="s">
        <v>345</v>
      </c>
    </row>
    <row r="25" spans="1:20" ht="18.75" customHeight="1">
      <c r="A25" s="76">
        <v>8</v>
      </c>
      <c r="B25" s="121" t="s">
        <v>340</v>
      </c>
      <c r="C25" s="95">
        <v>1973</v>
      </c>
      <c r="D25" s="95" t="s">
        <v>118</v>
      </c>
      <c r="E25" s="95">
        <v>2</v>
      </c>
      <c r="F25" s="95">
        <v>2</v>
      </c>
      <c r="G25" s="3">
        <v>587.70000000000005</v>
      </c>
      <c r="H25" s="3">
        <v>537.20000000000005</v>
      </c>
      <c r="I25" s="3">
        <f>H25-31.5</f>
        <v>505.70000000000005</v>
      </c>
      <c r="J25" s="133">
        <v>31</v>
      </c>
      <c r="K25" s="8">
        <f t="shared" si="3"/>
        <v>17728384.190000001</v>
      </c>
      <c r="L25" s="2">
        <v>0</v>
      </c>
      <c r="M25" s="2">
        <v>0</v>
      </c>
      <c r="N25" s="8">
        <v>17728384.190000001</v>
      </c>
      <c r="O25" s="2">
        <v>0</v>
      </c>
      <c r="P25" s="2">
        <v>0</v>
      </c>
      <c r="Q25" s="2">
        <v>0</v>
      </c>
      <c r="R25" s="65" t="s">
        <v>345</v>
      </c>
      <c r="S25" s="65" t="s">
        <v>345</v>
      </c>
    </row>
    <row r="26" spans="1:20" ht="18.75" customHeight="1">
      <c r="A26" s="76">
        <v>9</v>
      </c>
      <c r="B26" s="121" t="s">
        <v>567</v>
      </c>
      <c r="C26" s="95">
        <v>1957</v>
      </c>
      <c r="D26" s="76" t="s">
        <v>75</v>
      </c>
      <c r="E26" s="95">
        <v>4</v>
      </c>
      <c r="F26" s="95">
        <v>3</v>
      </c>
      <c r="G26" s="8">
        <v>3983.82</v>
      </c>
      <c r="H26" s="8">
        <v>2811.92</v>
      </c>
      <c r="I26" s="8">
        <f>H26-99.2</f>
        <v>2712.7200000000003</v>
      </c>
      <c r="J26" s="133">
        <v>85</v>
      </c>
      <c r="K26" s="8">
        <f t="shared" si="3"/>
        <v>44045235.380000003</v>
      </c>
      <c r="L26" s="2">
        <v>0</v>
      </c>
      <c r="M26" s="2">
        <v>0</v>
      </c>
      <c r="N26" s="8">
        <v>44045235.380000003</v>
      </c>
      <c r="O26" s="2">
        <v>0</v>
      </c>
      <c r="P26" s="2">
        <v>0</v>
      </c>
      <c r="Q26" s="2">
        <v>0</v>
      </c>
      <c r="R26" s="65" t="s">
        <v>345</v>
      </c>
      <c r="S26" s="65" t="s">
        <v>345</v>
      </c>
    </row>
    <row r="27" spans="1:20" ht="18.75" customHeight="1">
      <c r="A27" s="76">
        <v>10</v>
      </c>
      <c r="B27" s="121" t="s">
        <v>341</v>
      </c>
      <c r="C27" s="95" t="s">
        <v>163</v>
      </c>
      <c r="D27" s="76" t="s">
        <v>75</v>
      </c>
      <c r="E27" s="95">
        <v>2</v>
      </c>
      <c r="F27" s="95">
        <v>3</v>
      </c>
      <c r="G27" s="8">
        <v>698.4</v>
      </c>
      <c r="H27" s="3">
        <v>550.20000000000005</v>
      </c>
      <c r="I27" s="8">
        <f>H27-26.5</f>
        <v>523.70000000000005</v>
      </c>
      <c r="J27" s="58">
        <v>31</v>
      </c>
      <c r="K27" s="8">
        <f t="shared" si="3"/>
        <v>34341237.170000002</v>
      </c>
      <c r="L27" s="2">
        <v>0</v>
      </c>
      <c r="M27" s="2">
        <v>0</v>
      </c>
      <c r="N27" s="8">
        <v>34341237.170000002</v>
      </c>
      <c r="O27" s="2">
        <v>0</v>
      </c>
      <c r="P27" s="2">
        <v>0</v>
      </c>
      <c r="Q27" s="2">
        <v>0</v>
      </c>
      <c r="R27" s="65" t="s">
        <v>345</v>
      </c>
      <c r="S27" s="65" t="s">
        <v>345</v>
      </c>
    </row>
    <row r="28" spans="1:20" ht="18.75" customHeight="1">
      <c r="A28" s="76">
        <v>11</v>
      </c>
      <c r="B28" s="121" t="s">
        <v>342</v>
      </c>
      <c r="C28" s="95">
        <v>1959</v>
      </c>
      <c r="D28" s="95" t="s">
        <v>118</v>
      </c>
      <c r="E28" s="95">
        <v>3</v>
      </c>
      <c r="F28" s="95">
        <v>2</v>
      </c>
      <c r="G28" s="8">
        <v>769.5</v>
      </c>
      <c r="H28" s="8">
        <v>769.5</v>
      </c>
      <c r="I28" s="8">
        <f>H28-265.2-41.3</f>
        <v>463</v>
      </c>
      <c r="J28" s="58">
        <v>39</v>
      </c>
      <c r="K28" s="8">
        <f t="shared" si="3"/>
        <v>21282048.530000001</v>
      </c>
      <c r="L28" s="2">
        <v>0</v>
      </c>
      <c r="M28" s="2">
        <v>0</v>
      </c>
      <c r="N28" s="8">
        <v>21282048.530000001</v>
      </c>
      <c r="O28" s="2">
        <v>0</v>
      </c>
      <c r="P28" s="2">
        <v>0</v>
      </c>
      <c r="Q28" s="2">
        <v>0</v>
      </c>
      <c r="R28" s="65" t="s">
        <v>345</v>
      </c>
      <c r="S28" s="65" t="s">
        <v>345</v>
      </c>
    </row>
    <row r="29" spans="1:20" ht="18.75" customHeight="1">
      <c r="A29" s="76">
        <v>12</v>
      </c>
      <c r="B29" s="121" t="s">
        <v>343</v>
      </c>
      <c r="C29" s="95">
        <v>1962</v>
      </c>
      <c r="D29" s="76" t="s">
        <v>75</v>
      </c>
      <c r="E29" s="95">
        <v>2</v>
      </c>
      <c r="F29" s="95">
        <v>2</v>
      </c>
      <c r="G29" s="3">
        <v>614.5</v>
      </c>
      <c r="H29" s="3">
        <v>569.79999999999995</v>
      </c>
      <c r="I29" s="3">
        <v>569.79999999999995</v>
      </c>
      <c r="J29" s="133">
        <v>31</v>
      </c>
      <c r="K29" s="8">
        <f t="shared" si="3"/>
        <v>15377966.700000001</v>
      </c>
      <c r="L29" s="2">
        <v>0</v>
      </c>
      <c r="M29" s="2">
        <v>0</v>
      </c>
      <c r="N29" s="8">
        <v>15377966.700000001</v>
      </c>
      <c r="O29" s="2">
        <v>0</v>
      </c>
      <c r="P29" s="2">
        <v>0</v>
      </c>
      <c r="Q29" s="2">
        <v>0</v>
      </c>
      <c r="R29" s="65" t="s">
        <v>345</v>
      </c>
      <c r="S29" s="65" t="s">
        <v>345</v>
      </c>
    </row>
    <row r="30" spans="1:20" ht="18.75" customHeight="1">
      <c r="A30" s="76">
        <v>13</v>
      </c>
      <c r="B30" s="121" t="s">
        <v>344</v>
      </c>
      <c r="C30" s="95">
        <v>1949</v>
      </c>
      <c r="D30" s="95" t="s">
        <v>118</v>
      </c>
      <c r="E30" s="95">
        <v>2</v>
      </c>
      <c r="F30" s="95">
        <v>2</v>
      </c>
      <c r="G30" s="3">
        <v>777.9</v>
      </c>
      <c r="H30" s="3">
        <v>700.3</v>
      </c>
      <c r="I30" s="3">
        <v>700.3</v>
      </c>
      <c r="J30" s="133">
        <v>42</v>
      </c>
      <c r="K30" s="8">
        <f t="shared" si="3"/>
        <v>4452744.88</v>
      </c>
      <c r="L30" s="2">
        <v>0</v>
      </c>
      <c r="M30" s="2">
        <v>0</v>
      </c>
      <c r="N30" s="8">
        <v>4452744.88</v>
      </c>
      <c r="O30" s="2">
        <v>0</v>
      </c>
      <c r="P30" s="2">
        <v>0</v>
      </c>
      <c r="Q30" s="2">
        <v>0</v>
      </c>
      <c r="R30" s="65" t="s">
        <v>345</v>
      </c>
      <c r="S30" s="65" t="s">
        <v>345</v>
      </c>
    </row>
    <row r="31" spans="1:20" ht="44.25" customHeight="1">
      <c r="A31" s="158" t="s">
        <v>153</v>
      </c>
      <c r="B31" s="159"/>
      <c r="C31" s="159"/>
      <c r="D31" s="159"/>
      <c r="E31" s="159"/>
      <c r="F31" s="160"/>
      <c r="G31" s="37">
        <f>G32+G33</f>
        <v>1901.3000000000002</v>
      </c>
      <c r="H31" s="37">
        <f t="shared" ref="H31:Q31" si="4">H32+H33</f>
        <v>1721.3000000000002</v>
      </c>
      <c r="I31" s="37">
        <f t="shared" si="4"/>
        <v>1721.3000000000002</v>
      </c>
      <c r="J31" s="128">
        <f t="shared" si="4"/>
        <v>87</v>
      </c>
      <c r="K31" s="8">
        <f t="shared" si="4"/>
        <v>18273600.539999999</v>
      </c>
      <c r="L31" s="2">
        <f t="shared" si="4"/>
        <v>0</v>
      </c>
      <c r="M31" s="2">
        <f t="shared" si="4"/>
        <v>0</v>
      </c>
      <c r="N31" s="63">
        <f t="shared" si="4"/>
        <v>18273600.539999999</v>
      </c>
      <c r="O31" s="2">
        <f t="shared" si="4"/>
        <v>0</v>
      </c>
      <c r="P31" s="2">
        <f t="shared" si="4"/>
        <v>0</v>
      </c>
      <c r="Q31" s="2">
        <f t="shared" si="4"/>
        <v>0</v>
      </c>
      <c r="R31" s="8" t="s">
        <v>52</v>
      </c>
      <c r="S31" s="8" t="s">
        <v>52</v>
      </c>
    </row>
    <row r="32" spans="1:20">
      <c r="A32" s="76">
        <v>14</v>
      </c>
      <c r="B32" s="121" t="s">
        <v>653</v>
      </c>
      <c r="C32" s="95">
        <v>1987</v>
      </c>
      <c r="D32" s="76" t="s">
        <v>75</v>
      </c>
      <c r="E32" s="95">
        <v>2</v>
      </c>
      <c r="F32" s="95">
        <v>3</v>
      </c>
      <c r="G32" s="2">
        <v>937.7</v>
      </c>
      <c r="H32" s="3">
        <f>141.3+706.4</f>
        <v>847.7</v>
      </c>
      <c r="I32" s="3">
        <v>847.7</v>
      </c>
      <c r="J32" s="133">
        <v>42</v>
      </c>
      <c r="K32" s="8">
        <f>L32+M32+N32+O32+P32+Q32</f>
        <v>9136800.2699999996</v>
      </c>
      <c r="L32" s="2">
        <v>0</v>
      </c>
      <c r="M32" s="2">
        <v>0</v>
      </c>
      <c r="N32" s="8">
        <v>9136800.2699999996</v>
      </c>
      <c r="O32" s="2">
        <v>0</v>
      </c>
      <c r="P32" s="2">
        <v>0</v>
      </c>
      <c r="Q32" s="2">
        <v>0</v>
      </c>
      <c r="R32" s="128">
        <v>2026</v>
      </c>
      <c r="S32" s="128">
        <v>2026</v>
      </c>
    </row>
    <row r="33" spans="1:20">
      <c r="A33" s="76">
        <v>15</v>
      </c>
      <c r="B33" s="121" t="s">
        <v>654</v>
      </c>
      <c r="C33" s="95">
        <v>1989</v>
      </c>
      <c r="D33" s="76" t="s">
        <v>75</v>
      </c>
      <c r="E33" s="95">
        <v>2</v>
      </c>
      <c r="F33" s="95">
        <v>3</v>
      </c>
      <c r="G33" s="2">
        <v>963.6</v>
      </c>
      <c r="H33" s="3">
        <f>134+739.6</f>
        <v>873.6</v>
      </c>
      <c r="I33" s="3">
        <v>873.6</v>
      </c>
      <c r="J33" s="133">
        <v>45</v>
      </c>
      <c r="K33" s="8">
        <f>L33+M33+N33+O33+P33+Q33</f>
        <v>9136800.2699999996</v>
      </c>
      <c r="L33" s="2">
        <v>0</v>
      </c>
      <c r="M33" s="2">
        <v>0</v>
      </c>
      <c r="N33" s="8">
        <v>9136800.2699999996</v>
      </c>
      <c r="O33" s="2">
        <v>0</v>
      </c>
      <c r="P33" s="2">
        <v>0</v>
      </c>
      <c r="Q33" s="2">
        <v>0</v>
      </c>
      <c r="R33" s="128">
        <v>2026</v>
      </c>
      <c r="S33" s="128">
        <v>2026</v>
      </c>
    </row>
    <row r="34" spans="1:20" ht="45.75" customHeight="1">
      <c r="A34" s="158" t="s">
        <v>265</v>
      </c>
      <c r="B34" s="159"/>
      <c r="C34" s="159"/>
      <c r="D34" s="159"/>
      <c r="E34" s="159"/>
      <c r="F34" s="160"/>
      <c r="G34" s="37">
        <f>G35</f>
        <v>2697.2</v>
      </c>
      <c r="H34" s="37">
        <f t="shared" ref="H34:Q34" si="5">H35</f>
        <v>2031.7</v>
      </c>
      <c r="I34" s="37">
        <f t="shared" si="5"/>
        <v>2031.7</v>
      </c>
      <c r="J34" s="128">
        <f t="shared" si="5"/>
        <v>32</v>
      </c>
      <c r="K34" s="8">
        <f t="shared" si="5"/>
        <v>2741200.12</v>
      </c>
      <c r="L34" s="2">
        <f t="shared" si="5"/>
        <v>0</v>
      </c>
      <c r="M34" s="2">
        <f t="shared" si="5"/>
        <v>0</v>
      </c>
      <c r="N34" s="8">
        <f t="shared" si="5"/>
        <v>2741200.12</v>
      </c>
      <c r="O34" s="2">
        <f t="shared" si="5"/>
        <v>0</v>
      </c>
      <c r="P34" s="2">
        <f t="shared" si="5"/>
        <v>0</v>
      </c>
      <c r="Q34" s="2">
        <f t="shared" si="5"/>
        <v>0</v>
      </c>
      <c r="R34" s="8" t="s">
        <v>52</v>
      </c>
      <c r="S34" s="8" t="s">
        <v>52</v>
      </c>
    </row>
    <row r="35" spans="1:20">
      <c r="A35" s="76">
        <v>16</v>
      </c>
      <c r="B35" s="121" t="s">
        <v>269</v>
      </c>
      <c r="C35" s="95">
        <v>1966</v>
      </c>
      <c r="D35" s="76" t="s">
        <v>75</v>
      </c>
      <c r="E35" s="95">
        <v>4</v>
      </c>
      <c r="F35" s="95">
        <v>3</v>
      </c>
      <c r="G35" s="8">
        <v>2697.2</v>
      </c>
      <c r="H35" s="8">
        <v>2031.7</v>
      </c>
      <c r="I35" s="8">
        <v>2031.7</v>
      </c>
      <c r="J35" s="133">
        <v>32</v>
      </c>
      <c r="K35" s="8">
        <f>L35+M35+N35+O35+P35+Q35</f>
        <v>2741200.12</v>
      </c>
      <c r="L35" s="2">
        <v>0</v>
      </c>
      <c r="M35" s="2">
        <v>0</v>
      </c>
      <c r="N35" s="8">
        <v>2741200.12</v>
      </c>
      <c r="O35" s="2">
        <v>0</v>
      </c>
      <c r="P35" s="2">
        <v>0</v>
      </c>
      <c r="Q35" s="2">
        <v>0</v>
      </c>
      <c r="R35" s="128">
        <v>2026</v>
      </c>
      <c r="S35" s="128">
        <v>2026</v>
      </c>
    </row>
    <row r="36" spans="1:20" ht="44.25" customHeight="1">
      <c r="A36" s="158" t="s">
        <v>222</v>
      </c>
      <c r="B36" s="159"/>
      <c r="C36" s="159"/>
      <c r="D36" s="159"/>
      <c r="E36" s="159"/>
      <c r="F36" s="160"/>
      <c r="G36" s="37">
        <f>SUM(G37:G38)</f>
        <v>3911.7000000000003</v>
      </c>
      <c r="H36" s="37">
        <f t="shared" ref="H36:Q36" si="6">SUM(H37:H38)</f>
        <v>3429.3</v>
      </c>
      <c r="I36" s="37">
        <f t="shared" si="6"/>
        <v>3429.3</v>
      </c>
      <c r="J36" s="128">
        <f t="shared" si="6"/>
        <v>95</v>
      </c>
      <c r="K36" s="8">
        <f t="shared" si="6"/>
        <v>21463795.240000002</v>
      </c>
      <c r="L36" s="2">
        <f t="shared" si="6"/>
        <v>0</v>
      </c>
      <c r="M36" s="2">
        <f t="shared" si="6"/>
        <v>0</v>
      </c>
      <c r="N36" s="63">
        <f t="shared" si="6"/>
        <v>21463795.240000002</v>
      </c>
      <c r="O36" s="2">
        <f t="shared" si="6"/>
        <v>0</v>
      </c>
      <c r="P36" s="2">
        <f t="shared" si="6"/>
        <v>0</v>
      </c>
      <c r="Q36" s="2">
        <f t="shared" si="6"/>
        <v>0</v>
      </c>
      <c r="R36" s="8" t="s">
        <v>52</v>
      </c>
      <c r="S36" s="8" t="s">
        <v>52</v>
      </c>
    </row>
    <row r="37" spans="1:20">
      <c r="A37" s="76">
        <v>17</v>
      </c>
      <c r="B37" s="20" t="s">
        <v>225</v>
      </c>
      <c r="C37" s="76">
        <v>1967</v>
      </c>
      <c r="D37" s="76" t="s">
        <v>75</v>
      </c>
      <c r="E37" s="76">
        <v>2</v>
      </c>
      <c r="F37" s="76">
        <v>2</v>
      </c>
      <c r="G37" s="2">
        <v>502.9</v>
      </c>
      <c r="H37" s="2">
        <v>453.3</v>
      </c>
      <c r="I37" s="2">
        <v>453.3</v>
      </c>
      <c r="J37" s="128">
        <v>15</v>
      </c>
      <c r="K37" s="1">
        <v>9822691.7799999993</v>
      </c>
      <c r="L37" s="2">
        <v>0</v>
      </c>
      <c r="M37" s="2">
        <v>0</v>
      </c>
      <c r="N37" s="1">
        <v>9822691.7799999993</v>
      </c>
      <c r="O37" s="2">
        <v>0</v>
      </c>
      <c r="P37" s="2">
        <v>0</v>
      </c>
      <c r="Q37" s="2">
        <v>0</v>
      </c>
      <c r="R37" s="133">
        <v>2026</v>
      </c>
      <c r="S37" s="133">
        <v>2026</v>
      </c>
      <c r="T37" s="81"/>
    </row>
    <row r="38" spans="1:20">
      <c r="A38" s="76">
        <v>18</v>
      </c>
      <c r="B38" s="20" t="s">
        <v>655</v>
      </c>
      <c r="C38" s="95">
        <v>1987</v>
      </c>
      <c r="D38" s="76" t="s">
        <v>75</v>
      </c>
      <c r="E38" s="95">
        <v>4</v>
      </c>
      <c r="F38" s="95">
        <v>5</v>
      </c>
      <c r="G38" s="8">
        <v>3408.8</v>
      </c>
      <c r="H38" s="8">
        <v>2976</v>
      </c>
      <c r="I38" s="8">
        <v>2976</v>
      </c>
      <c r="J38" s="133">
        <v>80</v>
      </c>
      <c r="K38" s="1">
        <v>11641103.460000001</v>
      </c>
      <c r="L38" s="2">
        <v>0</v>
      </c>
      <c r="M38" s="2">
        <v>0</v>
      </c>
      <c r="N38" s="1">
        <v>11641103.460000001</v>
      </c>
      <c r="O38" s="2">
        <v>0</v>
      </c>
      <c r="P38" s="2">
        <v>0</v>
      </c>
      <c r="Q38" s="2">
        <v>0</v>
      </c>
      <c r="R38" s="133">
        <v>2026</v>
      </c>
      <c r="S38" s="133">
        <v>2026</v>
      </c>
    </row>
    <row r="39" spans="1:20" ht="42.75" customHeight="1">
      <c r="A39" s="158" t="s">
        <v>130</v>
      </c>
      <c r="B39" s="159"/>
      <c r="C39" s="159"/>
      <c r="D39" s="159"/>
      <c r="E39" s="159"/>
      <c r="F39" s="160"/>
      <c r="G39" s="37">
        <f>SUM(G40:G47)</f>
        <v>14869.8</v>
      </c>
      <c r="H39" s="63">
        <f t="shared" ref="H39:N39" si="7">SUM(H40:H47)</f>
        <v>14869.8</v>
      </c>
      <c r="I39" s="63">
        <f t="shared" si="7"/>
        <v>14366.399999999998</v>
      </c>
      <c r="J39" s="66">
        <f t="shared" si="7"/>
        <v>567</v>
      </c>
      <c r="K39" s="8">
        <f t="shared" si="7"/>
        <v>81318256.370000005</v>
      </c>
      <c r="L39" s="2">
        <f t="shared" ref="L39:Q39" si="8">L40+L41</f>
        <v>0</v>
      </c>
      <c r="M39" s="2">
        <f t="shared" si="8"/>
        <v>0</v>
      </c>
      <c r="N39" s="63">
        <f t="shared" si="7"/>
        <v>81318256.370000005</v>
      </c>
      <c r="O39" s="2">
        <f t="shared" si="8"/>
        <v>0</v>
      </c>
      <c r="P39" s="2">
        <f t="shared" si="8"/>
        <v>0</v>
      </c>
      <c r="Q39" s="2">
        <f t="shared" si="8"/>
        <v>0</v>
      </c>
      <c r="R39" s="128" t="s">
        <v>52</v>
      </c>
      <c r="S39" s="128" t="s">
        <v>52</v>
      </c>
    </row>
    <row r="40" spans="1:20">
      <c r="A40" s="120">
        <v>19</v>
      </c>
      <c r="B40" s="67" t="s">
        <v>657</v>
      </c>
      <c r="C40" s="66">
        <v>1972</v>
      </c>
      <c r="D40" s="66" t="s">
        <v>75</v>
      </c>
      <c r="E40" s="66">
        <v>2</v>
      </c>
      <c r="F40" s="66">
        <v>2</v>
      </c>
      <c r="G40" s="2">
        <v>504.7</v>
      </c>
      <c r="H40" s="2">
        <v>504.7</v>
      </c>
      <c r="I40" s="2">
        <v>504.7</v>
      </c>
      <c r="J40" s="66">
        <v>29</v>
      </c>
      <c r="K40" s="1">
        <v>6734752.6100000003</v>
      </c>
      <c r="L40" s="2">
        <v>0</v>
      </c>
      <c r="M40" s="2">
        <v>0</v>
      </c>
      <c r="N40" s="37">
        <v>6734752.6100000003</v>
      </c>
      <c r="O40" s="2">
        <v>0</v>
      </c>
      <c r="P40" s="2">
        <v>0</v>
      </c>
      <c r="Q40" s="2">
        <v>0</v>
      </c>
      <c r="R40" s="68">
        <v>2026</v>
      </c>
      <c r="S40" s="68">
        <v>2026</v>
      </c>
    </row>
    <row r="41" spans="1:20">
      <c r="A41" s="120">
        <v>20</v>
      </c>
      <c r="B41" s="69" t="s">
        <v>658</v>
      </c>
      <c r="C41" s="70">
        <v>1986</v>
      </c>
      <c r="D41" s="66" t="s">
        <v>75</v>
      </c>
      <c r="E41" s="66">
        <v>5</v>
      </c>
      <c r="F41" s="66">
        <v>6</v>
      </c>
      <c r="G41" s="8">
        <v>4157.2</v>
      </c>
      <c r="H41" s="8">
        <v>4157.2</v>
      </c>
      <c r="I41" s="8">
        <v>3759.5</v>
      </c>
      <c r="J41" s="66">
        <v>149</v>
      </c>
      <c r="K41" s="1">
        <v>17316730.760000002</v>
      </c>
      <c r="L41" s="2">
        <v>0</v>
      </c>
      <c r="M41" s="2">
        <v>0</v>
      </c>
      <c r="N41" s="37">
        <v>17316730.760000002</v>
      </c>
      <c r="O41" s="2">
        <v>0</v>
      </c>
      <c r="P41" s="2">
        <v>0</v>
      </c>
      <c r="Q41" s="2">
        <v>0</v>
      </c>
      <c r="R41" s="68">
        <v>2026</v>
      </c>
      <c r="S41" s="68">
        <v>2026</v>
      </c>
    </row>
    <row r="42" spans="1:20">
      <c r="A42" s="120">
        <v>21</v>
      </c>
      <c r="B42" s="67" t="s">
        <v>659</v>
      </c>
      <c r="C42" s="66">
        <v>1990</v>
      </c>
      <c r="D42" s="66" t="s">
        <v>75</v>
      </c>
      <c r="E42" s="66">
        <v>5</v>
      </c>
      <c r="F42" s="66">
        <v>7</v>
      </c>
      <c r="G42" s="8">
        <v>4801.3999999999996</v>
      </c>
      <c r="H42" s="8">
        <v>4801.3999999999996</v>
      </c>
      <c r="I42" s="8">
        <v>4801.3999999999996</v>
      </c>
      <c r="J42" s="66">
        <v>197</v>
      </c>
      <c r="K42" s="1">
        <v>20327805.300000001</v>
      </c>
      <c r="L42" s="2">
        <v>0</v>
      </c>
      <c r="M42" s="2">
        <v>0</v>
      </c>
      <c r="N42" s="37">
        <v>20327805.300000001</v>
      </c>
      <c r="O42" s="2">
        <v>0</v>
      </c>
      <c r="P42" s="2">
        <v>0</v>
      </c>
      <c r="Q42" s="2">
        <v>0</v>
      </c>
      <c r="R42" s="68">
        <v>2026</v>
      </c>
      <c r="S42" s="68">
        <v>2026</v>
      </c>
    </row>
    <row r="43" spans="1:20">
      <c r="A43" s="120">
        <v>22</v>
      </c>
      <c r="B43" s="67" t="s">
        <v>660</v>
      </c>
      <c r="C43" s="66">
        <v>1975</v>
      </c>
      <c r="D43" s="66" t="s">
        <v>132</v>
      </c>
      <c r="E43" s="66">
        <v>1</v>
      </c>
      <c r="F43" s="66">
        <v>2</v>
      </c>
      <c r="G43" s="2">
        <v>430.1</v>
      </c>
      <c r="H43" s="2">
        <v>430.1</v>
      </c>
      <c r="I43" s="2">
        <v>324.39999999999998</v>
      </c>
      <c r="J43" s="66">
        <v>20</v>
      </c>
      <c r="K43" s="1">
        <v>9444368.0700000003</v>
      </c>
      <c r="L43" s="2">
        <v>0</v>
      </c>
      <c r="M43" s="2">
        <v>0</v>
      </c>
      <c r="N43" s="37">
        <v>9444368.0700000003</v>
      </c>
      <c r="O43" s="2">
        <v>0</v>
      </c>
      <c r="P43" s="2">
        <v>0</v>
      </c>
      <c r="Q43" s="2">
        <v>0</v>
      </c>
      <c r="R43" s="68">
        <v>2026</v>
      </c>
      <c r="S43" s="68">
        <v>2026</v>
      </c>
    </row>
    <row r="44" spans="1:20">
      <c r="A44" s="120">
        <v>23</v>
      </c>
      <c r="B44" s="67" t="s">
        <v>661</v>
      </c>
      <c r="C44" s="66">
        <v>1997</v>
      </c>
      <c r="D44" s="66" t="s">
        <v>77</v>
      </c>
      <c r="E44" s="66">
        <v>2</v>
      </c>
      <c r="F44" s="66">
        <v>3</v>
      </c>
      <c r="G44" s="2">
        <v>995.5</v>
      </c>
      <c r="H44" s="2">
        <v>995.5</v>
      </c>
      <c r="I44" s="2">
        <v>995.5</v>
      </c>
      <c r="J44" s="66">
        <v>17</v>
      </c>
      <c r="K44" s="1">
        <v>9210446.0399999991</v>
      </c>
      <c r="L44" s="2">
        <v>0</v>
      </c>
      <c r="M44" s="2">
        <v>0</v>
      </c>
      <c r="N44" s="37">
        <v>9210446.0399999991</v>
      </c>
      <c r="O44" s="2">
        <v>0</v>
      </c>
      <c r="P44" s="2">
        <v>0</v>
      </c>
      <c r="Q44" s="2">
        <v>0</v>
      </c>
      <c r="R44" s="68">
        <v>2026</v>
      </c>
      <c r="S44" s="68">
        <v>2026</v>
      </c>
    </row>
    <row r="45" spans="1:20">
      <c r="A45" s="120">
        <v>24</v>
      </c>
      <c r="B45" s="67" t="s">
        <v>656</v>
      </c>
      <c r="C45" s="66">
        <v>1976</v>
      </c>
      <c r="D45" s="66" t="s">
        <v>77</v>
      </c>
      <c r="E45" s="66">
        <v>2</v>
      </c>
      <c r="F45" s="66">
        <v>2</v>
      </c>
      <c r="G45" s="2">
        <v>566.1</v>
      </c>
      <c r="H45" s="2">
        <v>566.1</v>
      </c>
      <c r="I45" s="2">
        <v>566.1</v>
      </c>
      <c r="J45" s="66">
        <v>17</v>
      </c>
      <c r="K45" s="1">
        <v>5646174.9900000002</v>
      </c>
      <c r="L45" s="2">
        <v>0</v>
      </c>
      <c r="M45" s="2">
        <v>0</v>
      </c>
      <c r="N45" s="37">
        <v>5646174.9900000002</v>
      </c>
      <c r="O45" s="2">
        <v>0</v>
      </c>
      <c r="P45" s="2">
        <v>0</v>
      </c>
      <c r="Q45" s="2">
        <v>0</v>
      </c>
      <c r="R45" s="68">
        <v>2026</v>
      </c>
      <c r="S45" s="68">
        <v>2026</v>
      </c>
    </row>
    <row r="46" spans="1:20">
      <c r="A46" s="120">
        <v>25</v>
      </c>
      <c r="B46" s="67" t="s">
        <v>662</v>
      </c>
      <c r="C46" s="66">
        <v>1986</v>
      </c>
      <c r="D46" s="66" t="s">
        <v>77</v>
      </c>
      <c r="E46" s="66">
        <v>5</v>
      </c>
      <c r="F46" s="66">
        <v>4</v>
      </c>
      <c r="G46" s="8">
        <v>2790</v>
      </c>
      <c r="H46" s="8">
        <v>2790</v>
      </c>
      <c r="I46" s="8">
        <v>2790</v>
      </c>
      <c r="J46" s="66">
        <v>111</v>
      </c>
      <c r="K46" s="1">
        <v>10507451.59</v>
      </c>
      <c r="L46" s="2">
        <v>0</v>
      </c>
      <c r="M46" s="2">
        <v>0</v>
      </c>
      <c r="N46" s="37">
        <v>10507451.59</v>
      </c>
      <c r="O46" s="2">
        <v>0</v>
      </c>
      <c r="P46" s="2">
        <v>0</v>
      </c>
      <c r="Q46" s="2">
        <v>0</v>
      </c>
      <c r="R46" s="68">
        <v>2026</v>
      </c>
      <c r="S46" s="68">
        <v>2026</v>
      </c>
    </row>
    <row r="47" spans="1:20">
      <c r="A47" s="120">
        <v>26</v>
      </c>
      <c r="B47" s="67" t="s">
        <v>663</v>
      </c>
      <c r="C47" s="66">
        <v>1969</v>
      </c>
      <c r="D47" s="66" t="s">
        <v>118</v>
      </c>
      <c r="E47" s="66">
        <v>2</v>
      </c>
      <c r="F47" s="66">
        <v>2</v>
      </c>
      <c r="G47" s="2">
        <v>624.79999999999995</v>
      </c>
      <c r="H47" s="2">
        <v>624.79999999999995</v>
      </c>
      <c r="I47" s="2">
        <v>624.79999999999995</v>
      </c>
      <c r="J47" s="66">
        <v>27</v>
      </c>
      <c r="K47" s="1">
        <v>2130527.0099999998</v>
      </c>
      <c r="L47" s="2">
        <v>0</v>
      </c>
      <c r="M47" s="2">
        <v>0</v>
      </c>
      <c r="N47" s="37">
        <f>K47</f>
        <v>2130527.0099999998</v>
      </c>
      <c r="O47" s="2">
        <v>0</v>
      </c>
      <c r="P47" s="2">
        <v>0</v>
      </c>
      <c r="Q47" s="2">
        <v>0</v>
      </c>
      <c r="R47" s="68">
        <v>2026</v>
      </c>
      <c r="S47" s="68">
        <v>2026</v>
      </c>
    </row>
    <row r="48" spans="1:20" ht="42.75" customHeight="1">
      <c r="A48" s="158" t="s">
        <v>226</v>
      </c>
      <c r="B48" s="159"/>
      <c r="C48" s="159"/>
      <c r="D48" s="159"/>
      <c r="E48" s="159"/>
      <c r="F48" s="160"/>
      <c r="G48" s="37">
        <f>G49+G50</f>
        <v>1468.4</v>
      </c>
      <c r="H48" s="37">
        <f t="shared" ref="H48:Q48" si="9">H49+H50</f>
        <v>1386.1</v>
      </c>
      <c r="I48" s="37">
        <f t="shared" si="9"/>
        <v>1324.1</v>
      </c>
      <c r="J48" s="78">
        <f t="shared" si="9"/>
        <v>49</v>
      </c>
      <c r="K48" s="37">
        <f t="shared" si="9"/>
        <v>862270.26</v>
      </c>
      <c r="L48" s="37">
        <f t="shared" si="9"/>
        <v>0</v>
      </c>
      <c r="M48" s="37">
        <f t="shared" si="9"/>
        <v>0</v>
      </c>
      <c r="N48" s="37">
        <f t="shared" si="9"/>
        <v>862270.26</v>
      </c>
      <c r="O48" s="37">
        <f t="shared" si="9"/>
        <v>0</v>
      </c>
      <c r="P48" s="37">
        <f t="shared" si="9"/>
        <v>0</v>
      </c>
      <c r="Q48" s="37">
        <f t="shared" si="9"/>
        <v>0</v>
      </c>
      <c r="R48" s="128" t="s">
        <v>52</v>
      </c>
      <c r="S48" s="128" t="s">
        <v>52</v>
      </c>
    </row>
    <row r="49" spans="1:19">
      <c r="A49" s="76">
        <v>27</v>
      </c>
      <c r="B49" s="71" t="s">
        <v>664</v>
      </c>
      <c r="C49" s="64">
        <v>1969</v>
      </c>
      <c r="D49" s="66" t="s">
        <v>75</v>
      </c>
      <c r="E49" s="64">
        <v>2</v>
      </c>
      <c r="F49" s="64">
        <v>2</v>
      </c>
      <c r="G49" s="8">
        <v>534.70000000000005</v>
      </c>
      <c r="H49" s="8">
        <v>534.70000000000005</v>
      </c>
      <c r="I49" s="8">
        <v>472.7</v>
      </c>
      <c r="J49" s="58">
        <v>27</v>
      </c>
      <c r="K49" s="8">
        <v>721425.26</v>
      </c>
      <c r="L49" s="8">
        <v>0</v>
      </c>
      <c r="M49" s="8">
        <v>0</v>
      </c>
      <c r="N49" s="8">
        <v>721425.26</v>
      </c>
      <c r="O49" s="2">
        <v>0</v>
      </c>
      <c r="P49" s="2">
        <v>0</v>
      </c>
      <c r="Q49" s="2">
        <v>0</v>
      </c>
      <c r="R49" s="133">
        <v>2026</v>
      </c>
      <c r="S49" s="133">
        <v>2026</v>
      </c>
    </row>
    <row r="50" spans="1:19">
      <c r="A50" s="76">
        <v>28</v>
      </c>
      <c r="B50" s="121" t="s">
        <v>665</v>
      </c>
      <c r="C50" s="95">
        <v>1979</v>
      </c>
      <c r="D50" s="66" t="s">
        <v>75</v>
      </c>
      <c r="E50" s="95">
        <v>2</v>
      </c>
      <c r="F50" s="95">
        <v>3</v>
      </c>
      <c r="G50" s="8">
        <v>933.7</v>
      </c>
      <c r="H50" s="8">
        <v>851.4</v>
      </c>
      <c r="I50" s="8">
        <v>851.4</v>
      </c>
      <c r="J50" s="58">
        <v>22</v>
      </c>
      <c r="K50" s="8">
        <v>140845</v>
      </c>
      <c r="L50" s="8">
        <v>0</v>
      </c>
      <c r="M50" s="8">
        <v>0</v>
      </c>
      <c r="N50" s="8">
        <v>140845</v>
      </c>
      <c r="O50" s="2">
        <v>0</v>
      </c>
      <c r="P50" s="2">
        <v>0</v>
      </c>
      <c r="Q50" s="2">
        <v>0</v>
      </c>
      <c r="R50" s="133">
        <v>2026</v>
      </c>
      <c r="S50" s="133">
        <v>2026</v>
      </c>
    </row>
    <row r="51" spans="1:19" ht="53.25" customHeight="1">
      <c r="A51" s="158" t="s">
        <v>73</v>
      </c>
      <c r="B51" s="159"/>
      <c r="C51" s="159"/>
      <c r="D51" s="159"/>
      <c r="E51" s="159"/>
      <c r="F51" s="160"/>
      <c r="G51" s="37">
        <f>SUM(G52:G57)</f>
        <v>7884.39</v>
      </c>
      <c r="H51" s="37">
        <f t="shared" ref="H51:Q51" si="10">SUM(H52:H57)</f>
        <v>7256.7900000000009</v>
      </c>
      <c r="I51" s="37">
        <f t="shared" si="10"/>
        <v>6696.09</v>
      </c>
      <c r="J51" s="66">
        <f t="shared" si="10"/>
        <v>251</v>
      </c>
      <c r="K51" s="8">
        <f>L51+M51+N51+O51+P51+Q51</f>
        <v>43525203.68</v>
      </c>
      <c r="L51" s="2">
        <f t="shared" si="10"/>
        <v>0</v>
      </c>
      <c r="M51" s="2">
        <f t="shared" si="10"/>
        <v>0</v>
      </c>
      <c r="N51" s="63">
        <f t="shared" si="10"/>
        <v>43525203.68</v>
      </c>
      <c r="O51" s="2">
        <f t="shared" si="10"/>
        <v>0</v>
      </c>
      <c r="P51" s="2">
        <f t="shared" si="10"/>
        <v>0</v>
      </c>
      <c r="Q51" s="2">
        <f t="shared" si="10"/>
        <v>0</v>
      </c>
      <c r="R51" s="8" t="s">
        <v>52</v>
      </c>
      <c r="S51" s="8" t="s">
        <v>52</v>
      </c>
    </row>
    <row r="52" spans="1:19">
      <c r="A52" s="76">
        <v>29</v>
      </c>
      <c r="B52" s="14" t="s">
        <v>571</v>
      </c>
      <c r="C52" s="95">
        <v>2016</v>
      </c>
      <c r="D52" s="66" t="s">
        <v>75</v>
      </c>
      <c r="E52" s="95">
        <v>3</v>
      </c>
      <c r="F52" s="95">
        <v>1</v>
      </c>
      <c r="G52" s="8">
        <v>1290.4000000000001</v>
      </c>
      <c r="H52" s="8">
        <v>835.3</v>
      </c>
      <c r="I52" s="8">
        <v>835.3</v>
      </c>
      <c r="J52" s="133">
        <v>33</v>
      </c>
      <c r="K52" s="8">
        <f>L52+M52+N52+O52+P52+Q52</f>
        <v>3504472.02</v>
      </c>
      <c r="L52" s="2">
        <v>0</v>
      </c>
      <c r="M52" s="2">
        <v>0</v>
      </c>
      <c r="N52" s="8">
        <v>3504472.02</v>
      </c>
      <c r="O52" s="2">
        <v>0</v>
      </c>
      <c r="P52" s="2">
        <v>0</v>
      </c>
      <c r="Q52" s="2">
        <v>0</v>
      </c>
      <c r="R52" s="133">
        <v>2026</v>
      </c>
      <c r="S52" s="133">
        <v>2026</v>
      </c>
    </row>
    <row r="53" spans="1:19">
      <c r="A53" s="76">
        <v>30</v>
      </c>
      <c r="B53" s="14" t="s">
        <v>572</v>
      </c>
      <c r="C53" s="95">
        <v>1983</v>
      </c>
      <c r="D53" s="95" t="s">
        <v>77</v>
      </c>
      <c r="E53" s="95">
        <v>9</v>
      </c>
      <c r="F53" s="95">
        <v>2</v>
      </c>
      <c r="G53" s="8">
        <v>4406.3</v>
      </c>
      <c r="H53" s="8">
        <v>4406.3</v>
      </c>
      <c r="I53" s="8">
        <v>3845.6</v>
      </c>
      <c r="J53" s="133">
        <v>120</v>
      </c>
      <c r="K53" s="8">
        <f t="shared" ref="K53:K57" si="11">L53+M53+N53+O53+P53+Q53</f>
        <v>11723546.109999999</v>
      </c>
      <c r="L53" s="2">
        <v>0</v>
      </c>
      <c r="M53" s="2">
        <v>0</v>
      </c>
      <c r="N53" s="8">
        <v>11723546.109999999</v>
      </c>
      <c r="O53" s="2">
        <v>0</v>
      </c>
      <c r="P53" s="2">
        <v>0</v>
      </c>
      <c r="Q53" s="2">
        <v>0</v>
      </c>
      <c r="R53" s="133">
        <v>2026</v>
      </c>
      <c r="S53" s="133">
        <v>2026</v>
      </c>
    </row>
    <row r="54" spans="1:19">
      <c r="A54" s="76">
        <v>31</v>
      </c>
      <c r="B54" s="14" t="s">
        <v>206</v>
      </c>
      <c r="C54" s="95">
        <v>1966</v>
      </c>
      <c r="D54" s="66" t="s">
        <v>75</v>
      </c>
      <c r="E54" s="95">
        <v>2</v>
      </c>
      <c r="F54" s="95">
        <v>1</v>
      </c>
      <c r="G54" s="8">
        <v>305.2</v>
      </c>
      <c r="H54" s="8">
        <v>203.6</v>
      </c>
      <c r="I54" s="8">
        <v>203.6</v>
      </c>
      <c r="J54" s="133">
        <v>8</v>
      </c>
      <c r="K54" s="8">
        <f t="shared" si="11"/>
        <v>4130648.27</v>
      </c>
      <c r="L54" s="2">
        <v>0</v>
      </c>
      <c r="M54" s="2">
        <v>0</v>
      </c>
      <c r="N54" s="8">
        <v>4130648.27</v>
      </c>
      <c r="O54" s="2">
        <v>0</v>
      </c>
      <c r="P54" s="2">
        <v>0</v>
      </c>
      <c r="Q54" s="2">
        <v>0</v>
      </c>
      <c r="R54" s="133">
        <v>2026</v>
      </c>
      <c r="S54" s="133">
        <v>2026</v>
      </c>
    </row>
    <row r="55" spans="1:19">
      <c r="A55" s="76">
        <v>32</v>
      </c>
      <c r="B55" s="14" t="s">
        <v>666</v>
      </c>
      <c r="C55" s="95">
        <v>1972</v>
      </c>
      <c r="D55" s="66" t="s">
        <v>75</v>
      </c>
      <c r="E55" s="95">
        <v>2</v>
      </c>
      <c r="F55" s="95">
        <v>2</v>
      </c>
      <c r="G55" s="8">
        <v>731.9</v>
      </c>
      <c r="H55" s="8">
        <v>731.9</v>
      </c>
      <c r="I55" s="8">
        <v>731.9</v>
      </c>
      <c r="J55" s="133">
        <v>30</v>
      </c>
      <c r="K55" s="8">
        <f t="shared" si="11"/>
        <v>8979670.1400000006</v>
      </c>
      <c r="L55" s="2">
        <v>0</v>
      </c>
      <c r="M55" s="2">
        <v>0</v>
      </c>
      <c r="N55" s="8">
        <v>8979670.1400000006</v>
      </c>
      <c r="O55" s="2">
        <v>0</v>
      </c>
      <c r="P55" s="2">
        <v>0</v>
      </c>
      <c r="Q55" s="2">
        <v>0</v>
      </c>
      <c r="R55" s="133">
        <v>2026</v>
      </c>
      <c r="S55" s="133">
        <v>2026</v>
      </c>
    </row>
    <row r="56" spans="1:19">
      <c r="A56" s="76">
        <v>33</v>
      </c>
      <c r="B56" s="14" t="s">
        <v>207</v>
      </c>
      <c r="C56" s="95">
        <v>1961</v>
      </c>
      <c r="D56" s="66" t="s">
        <v>75</v>
      </c>
      <c r="E56" s="95">
        <v>2</v>
      </c>
      <c r="F56" s="95">
        <v>1</v>
      </c>
      <c r="G56" s="8">
        <v>317.60000000000002</v>
      </c>
      <c r="H56" s="8">
        <v>295.10000000000002</v>
      </c>
      <c r="I56" s="8">
        <v>295.10000000000002</v>
      </c>
      <c r="J56" s="133">
        <v>14</v>
      </c>
      <c r="K56" s="8">
        <f t="shared" si="11"/>
        <v>4158709.74</v>
      </c>
      <c r="L56" s="2">
        <v>0</v>
      </c>
      <c r="M56" s="2">
        <v>0</v>
      </c>
      <c r="N56" s="8">
        <v>4158709.74</v>
      </c>
      <c r="O56" s="2">
        <v>0</v>
      </c>
      <c r="P56" s="2">
        <v>0</v>
      </c>
      <c r="Q56" s="2">
        <v>0</v>
      </c>
      <c r="R56" s="133">
        <v>2026</v>
      </c>
      <c r="S56" s="133">
        <v>2026</v>
      </c>
    </row>
    <row r="57" spans="1:19">
      <c r="A57" s="76">
        <v>34</v>
      </c>
      <c r="B57" s="14" t="s">
        <v>667</v>
      </c>
      <c r="C57" s="95">
        <v>1983</v>
      </c>
      <c r="D57" s="95" t="s">
        <v>77</v>
      </c>
      <c r="E57" s="95">
        <v>2</v>
      </c>
      <c r="F57" s="95">
        <v>3</v>
      </c>
      <c r="G57" s="8">
        <v>832.99</v>
      </c>
      <c r="H57" s="8">
        <v>784.59</v>
      </c>
      <c r="I57" s="8">
        <v>784.59</v>
      </c>
      <c r="J57" s="133">
        <v>46</v>
      </c>
      <c r="K57" s="8">
        <f t="shared" si="11"/>
        <v>11028157.4</v>
      </c>
      <c r="L57" s="2">
        <v>0</v>
      </c>
      <c r="M57" s="2">
        <v>0</v>
      </c>
      <c r="N57" s="8">
        <v>11028157.4</v>
      </c>
      <c r="O57" s="2">
        <v>0</v>
      </c>
      <c r="P57" s="2">
        <v>0</v>
      </c>
      <c r="Q57" s="2">
        <v>0</v>
      </c>
      <c r="R57" s="133">
        <v>2026</v>
      </c>
      <c r="S57" s="133">
        <v>2026</v>
      </c>
    </row>
    <row r="58" spans="1:19" ht="45.75" customHeight="1">
      <c r="A58" s="158" t="s">
        <v>142</v>
      </c>
      <c r="B58" s="159"/>
      <c r="C58" s="159"/>
      <c r="D58" s="159"/>
      <c r="E58" s="159"/>
      <c r="F58" s="160"/>
      <c r="G58" s="37">
        <f>G59</f>
        <v>3175.1</v>
      </c>
      <c r="H58" s="37">
        <f t="shared" ref="H58:N58" si="12">H59</f>
        <v>3175.1</v>
      </c>
      <c r="I58" s="37">
        <f t="shared" si="12"/>
        <v>3175.1</v>
      </c>
      <c r="J58" s="66">
        <f t="shared" si="12"/>
        <v>60</v>
      </c>
      <c r="K58" s="8">
        <f t="shared" si="12"/>
        <v>11552276.210000001</v>
      </c>
      <c r="L58" s="2">
        <f t="shared" ref="L58:M58" si="13">L59+L60</f>
        <v>0</v>
      </c>
      <c r="M58" s="2">
        <f t="shared" si="13"/>
        <v>0</v>
      </c>
      <c r="N58" s="63">
        <f t="shared" si="12"/>
        <v>11552276.210000001</v>
      </c>
      <c r="O58" s="2">
        <f t="shared" ref="O58:Q58" si="14">O59+O60</f>
        <v>0</v>
      </c>
      <c r="P58" s="2">
        <f t="shared" si="14"/>
        <v>0</v>
      </c>
      <c r="Q58" s="2">
        <f t="shared" si="14"/>
        <v>0</v>
      </c>
      <c r="R58" s="128" t="s">
        <v>52</v>
      </c>
      <c r="S58" s="128" t="s">
        <v>52</v>
      </c>
    </row>
    <row r="59" spans="1:19">
      <c r="A59" s="120">
        <v>35</v>
      </c>
      <c r="B59" s="67" t="s">
        <v>668</v>
      </c>
      <c r="C59" s="66">
        <v>1989</v>
      </c>
      <c r="D59" s="66" t="s">
        <v>118</v>
      </c>
      <c r="E59" s="66">
        <v>5</v>
      </c>
      <c r="F59" s="66">
        <v>4</v>
      </c>
      <c r="G59" s="8">
        <v>3175.1</v>
      </c>
      <c r="H59" s="8">
        <v>3175.1</v>
      </c>
      <c r="I59" s="8">
        <v>3175.1</v>
      </c>
      <c r="J59" s="66">
        <v>60</v>
      </c>
      <c r="K59" s="37">
        <v>11552276.210000001</v>
      </c>
      <c r="L59" s="2">
        <v>0</v>
      </c>
      <c r="M59" s="2">
        <v>0</v>
      </c>
      <c r="N59" s="37">
        <v>11552276.210000001</v>
      </c>
      <c r="O59" s="2">
        <v>0</v>
      </c>
      <c r="P59" s="2">
        <v>0</v>
      </c>
      <c r="Q59" s="2">
        <v>0</v>
      </c>
      <c r="R59" s="68">
        <v>2026</v>
      </c>
      <c r="S59" s="68">
        <v>2026</v>
      </c>
    </row>
    <row r="60" spans="1:19" ht="47.25" customHeight="1">
      <c r="A60" s="158" t="s">
        <v>284</v>
      </c>
      <c r="B60" s="159"/>
      <c r="C60" s="159"/>
      <c r="D60" s="159"/>
      <c r="E60" s="159"/>
      <c r="F60" s="160"/>
      <c r="G60" s="37">
        <f>SUM(G61:G69)</f>
        <v>7308.2999999999993</v>
      </c>
      <c r="H60" s="37">
        <f t="shared" ref="H60:Q60" si="15">SUM(H61:H69)</f>
        <v>6774.4000000000005</v>
      </c>
      <c r="I60" s="37">
        <f t="shared" si="15"/>
        <v>6723.2000000000007</v>
      </c>
      <c r="J60" s="66">
        <f t="shared" si="15"/>
        <v>279</v>
      </c>
      <c r="K60" s="8">
        <f t="shared" si="15"/>
        <v>48607867.289999999</v>
      </c>
      <c r="L60" s="2">
        <f t="shared" si="15"/>
        <v>0</v>
      </c>
      <c r="M60" s="2">
        <f t="shared" si="15"/>
        <v>0</v>
      </c>
      <c r="N60" s="63">
        <f t="shared" si="15"/>
        <v>48607867.289999999</v>
      </c>
      <c r="O60" s="2">
        <f t="shared" si="15"/>
        <v>0</v>
      </c>
      <c r="P60" s="2">
        <f t="shared" si="15"/>
        <v>0</v>
      </c>
      <c r="Q60" s="2">
        <f t="shared" si="15"/>
        <v>0</v>
      </c>
      <c r="R60" s="128" t="s">
        <v>52</v>
      </c>
      <c r="S60" s="128" t="s">
        <v>52</v>
      </c>
    </row>
    <row r="61" spans="1:19">
      <c r="A61" s="120">
        <v>36</v>
      </c>
      <c r="B61" s="121" t="s">
        <v>288</v>
      </c>
      <c r="C61" s="95">
        <v>1972</v>
      </c>
      <c r="D61" s="76" t="s">
        <v>132</v>
      </c>
      <c r="E61" s="95">
        <v>2</v>
      </c>
      <c r="F61" s="95">
        <v>2</v>
      </c>
      <c r="G61" s="8">
        <v>437.7</v>
      </c>
      <c r="H61" s="8">
        <v>288.7</v>
      </c>
      <c r="I61" s="8">
        <v>288.7</v>
      </c>
      <c r="J61" s="133">
        <v>12</v>
      </c>
      <c r="K61" s="8">
        <v>5191371.8000000007</v>
      </c>
      <c r="L61" s="2">
        <v>0</v>
      </c>
      <c r="M61" s="2">
        <v>0</v>
      </c>
      <c r="N61" s="8">
        <v>5191371.8</v>
      </c>
      <c r="O61" s="2">
        <v>0</v>
      </c>
      <c r="P61" s="2">
        <v>0</v>
      </c>
      <c r="Q61" s="2">
        <v>0</v>
      </c>
      <c r="R61" s="128">
        <v>2026</v>
      </c>
      <c r="S61" s="128">
        <v>2026</v>
      </c>
    </row>
    <row r="62" spans="1:19">
      <c r="A62" s="120">
        <v>37</v>
      </c>
      <c r="B62" s="121" t="s">
        <v>289</v>
      </c>
      <c r="C62" s="95">
        <v>1960</v>
      </c>
      <c r="D62" s="66" t="s">
        <v>118</v>
      </c>
      <c r="E62" s="95">
        <v>4</v>
      </c>
      <c r="F62" s="95">
        <v>2</v>
      </c>
      <c r="G62" s="8">
        <v>1367.7</v>
      </c>
      <c r="H62" s="8">
        <v>1258</v>
      </c>
      <c r="I62" s="8">
        <v>1258</v>
      </c>
      <c r="J62" s="133">
        <v>39</v>
      </c>
      <c r="K62" s="8">
        <v>10523050.949999999</v>
      </c>
      <c r="L62" s="2">
        <v>0</v>
      </c>
      <c r="M62" s="2">
        <v>0</v>
      </c>
      <c r="N62" s="8">
        <v>10523050.949999999</v>
      </c>
      <c r="O62" s="2">
        <v>0</v>
      </c>
      <c r="P62" s="2">
        <v>0</v>
      </c>
      <c r="Q62" s="2">
        <v>0</v>
      </c>
      <c r="R62" s="128">
        <v>2026</v>
      </c>
      <c r="S62" s="128">
        <v>2026</v>
      </c>
    </row>
    <row r="63" spans="1:19" ht="33" customHeight="1">
      <c r="A63" s="120">
        <v>38</v>
      </c>
      <c r="B63" s="121" t="s">
        <v>638</v>
      </c>
      <c r="C63" s="95">
        <v>1970</v>
      </c>
      <c r="D63" s="66" t="s">
        <v>75</v>
      </c>
      <c r="E63" s="95">
        <v>2</v>
      </c>
      <c r="F63" s="95">
        <v>3</v>
      </c>
      <c r="G63" s="8">
        <v>1008.2</v>
      </c>
      <c r="H63" s="8">
        <v>916.1</v>
      </c>
      <c r="I63" s="3">
        <v>916.1</v>
      </c>
      <c r="J63" s="133">
        <v>37</v>
      </c>
      <c r="K63" s="8">
        <v>8409239.1099999994</v>
      </c>
      <c r="L63" s="2">
        <v>0</v>
      </c>
      <c r="M63" s="2">
        <v>0</v>
      </c>
      <c r="N63" s="8">
        <v>8409239.1099999994</v>
      </c>
      <c r="O63" s="2">
        <v>0</v>
      </c>
      <c r="P63" s="2">
        <v>0</v>
      </c>
      <c r="Q63" s="2">
        <v>0</v>
      </c>
      <c r="R63" s="128">
        <v>2026</v>
      </c>
      <c r="S63" s="128">
        <v>2026</v>
      </c>
    </row>
    <row r="64" spans="1:19" ht="33.75" customHeight="1">
      <c r="A64" s="120">
        <v>39</v>
      </c>
      <c r="B64" s="121" t="s">
        <v>314</v>
      </c>
      <c r="C64" s="95">
        <v>1996</v>
      </c>
      <c r="D64" s="66" t="s">
        <v>75</v>
      </c>
      <c r="E64" s="95">
        <v>3</v>
      </c>
      <c r="F64" s="95">
        <v>1</v>
      </c>
      <c r="G64" s="8">
        <v>598.20000000000005</v>
      </c>
      <c r="H64" s="8">
        <v>598.20000000000005</v>
      </c>
      <c r="I64" s="3">
        <v>598.20000000000005</v>
      </c>
      <c r="J64" s="133">
        <v>24</v>
      </c>
      <c r="K64" s="8">
        <v>2918005.0999999996</v>
      </c>
      <c r="L64" s="2">
        <v>0</v>
      </c>
      <c r="M64" s="2">
        <v>0</v>
      </c>
      <c r="N64" s="8">
        <v>2918005.1</v>
      </c>
      <c r="O64" s="2">
        <v>0</v>
      </c>
      <c r="P64" s="2">
        <v>0</v>
      </c>
      <c r="Q64" s="2">
        <v>0</v>
      </c>
      <c r="R64" s="128">
        <v>2026</v>
      </c>
      <c r="S64" s="128">
        <v>2026</v>
      </c>
    </row>
    <row r="65" spans="1:19" ht="37.5">
      <c r="A65" s="120">
        <v>40</v>
      </c>
      <c r="B65" s="121" t="s">
        <v>290</v>
      </c>
      <c r="C65" s="95">
        <v>1960</v>
      </c>
      <c r="D65" s="66" t="s">
        <v>75</v>
      </c>
      <c r="E65" s="95">
        <v>3</v>
      </c>
      <c r="F65" s="95">
        <v>3</v>
      </c>
      <c r="G65" s="8">
        <v>1506.1</v>
      </c>
      <c r="H65" s="8">
        <v>1352.3</v>
      </c>
      <c r="I65" s="8">
        <v>1352.3</v>
      </c>
      <c r="J65" s="133">
        <v>57</v>
      </c>
      <c r="K65" s="8">
        <v>12978429.51</v>
      </c>
      <c r="L65" s="2">
        <v>0</v>
      </c>
      <c r="M65" s="2">
        <v>0</v>
      </c>
      <c r="N65" s="8">
        <v>12978429.51</v>
      </c>
      <c r="O65" s="2">
        <v>0</v>
      </c>
      <c r="P65" s="2">
        <v>0</v>
      </c>
      <c r="Q65" s="2">
        <v>0</v>
      </c>
      <c r="R65" s="128">
        <v>2026</v>
      </c>
      <c r="S65" s="128">
        <v>2026</v>
      </c>
    </row>
    <row r="66" spans="1:19" ht="37.5">
      <c r="A66" s="120">
        <v>41</v>
      </c>
      <c r="B66" s="121" t="s">
        <v>291</v>
      </c>
      <c r="C66" s="95" t="s">
        <v>292</v>
      </c>
      <c r="D66" s="66" t="s">
        <v>75</v>
      </c>
      <c r="E66" s="95">
        <v>2</v>
      </c>
      <c r="F66" s="95">
        <v>2</v>
      </c>
      <c r="G66" s="8">
        <v>348.9</v>
      </c>
      <c r="H66" s="8">
        <v>319.60000000000002</v>
      </c>
      <c r="I66" s="3">
        <v>319.60000000000002</v>
      </c>
      <c r="J66" s="133">
        <v>4</v>
      </c>
      <c r="K66" s="8">
        <v>4798511.2300000004</v>
      </c>
      <c r="L66" s="2">
        <v>0</v>
      </c>
      <c r="M66" s="2">
        <v>0</v>
      </c>
      <c r="N66" s="8">
        <v>4798511.2300000004</v>
      </c>
      <c r="O66" s="2">
        <v>0</v>
      </c>
      <c r="P66" s="2">
        <v>0</v>
      </c>
      <c r="Q66" s="2">
        <v>0</v>
      </c>
      <c r="R66" s="128">
        <v>2026</v>
      </c>
      <c r="S66" s="128">
        <v>2026</v>
      </c>
    </row>
    <row r="67" spans="1:19" ht="37.5">
      <c r="A67" s="120">
        <v>42</v>
      </c>
      <c r="B67" s="121" t="s">
        <v>293</v>
      </c>
      <c r="C67" s="95">
        <v>1958</v>
      </c>
      <c r="D67" s="76" t="s">
        <v>132</v>
      </c>
      <c r="E67" s="95">
        <v>2</v>
      </c>
      <c r="F67" s="95">
        <v>3</v>
      </c>
      <c r="G67" s="8">
        <v>445</v>
      </c>
      <c r="H67" s="8">
        <v>445</v>
      </c>
      <c r="I67" s="3">
        <v>393.8</v>
      </c>
      <c r="J67" s="133">
        <v>23</v>
      </c>
      <c r="K67" s="8">
        <v>2484509.08</v>
      </c>
      <c r="L67" s="2">
        <v>0</v>
      </c>
      <c r="M67" s="2">
        <v>0</v>
      </c>
      <c r="N67" s="8">
        <v>2484509.08</v>
      </c>
      <c r="O67" s="2">
        <v>0</v>
      </c>
      <c r="P67" s="2">
        <v>0</v>
      </c>
      <c r="Q67" s="2">
        <v>0</v>
      </c>
      <c r="R67" s="128">
        <v>2026</v>
      </c>
      <c r="S67" s="128">
        <v>2026</v>
      </c>
    </row>
    <row r="68" spans="1:19" ht="37.5">
      <c r="A68" s="120">
        <v>43</v>
      </c>
      <c r="B68" s="121" t="s">
        <v>286</v>
      </c>
      <c r="C68" s="95">
        <v>1936</v>
      </c>
      <c r="D68" s="66" t="s">
        <v>75</v>
      </c>
      <c r="E68" s="95">
        <v>3</v>
      </c>
      <c r="F68" s="95">
        <v>3</v>
      </c>
      <c r="G68" s="8">
        <v>1183.2</v>
      </c>
      <c r="H68" s="8">
        <v>1183.2</v>
      </c>
      <c r="I68" s="8">
        <v>1183.2</v>
      </c>
      <c r="J68" s="133">
        <v>63</v>
      </c>
      <c r="K68" s="8">
        <v>689116.11</v>
      </c>
      <c r="L68" s="2">
        <v>0</v>
      </c>
      <c r="M68" s="2">
        <v>0</v>
      </c>
      <c r="N68" s="8">
        <v>689116.11</v>
      </c>
      <c r="O68" s="2">
        <v>0</v>
      </c>
      <c r="P68" s="2">
        <v>0</v>
      </c>
      <c r="Q68" s="2">
        <v>0</v>
      </c>
      <c r="R68" s="128">
        <v>2026</v>
      </c>
      <c r="S68" s="128">
        <v>2026</v>
      </c>
    </row>
    <row r="69" spans="1:19">
      <c r="A69" s="120">
        <v>44</v>
      </c>
      <c r="B69" s="121" t="s">
        <v>287</v>
      </c>
      <c r="C69" s="95">
        <v>1923</v>
      </c>
      <c r="D69" s="76" t="s">
        <v>132</v>
      </c>
      <c r="E69" s="95">
        <v>2</v>
      </c>
      <c r="F69" s="95">
        <v>2</v>
      </c>
      <c r="G69" s="8">
        <v>413.3</v>
      </c>
      <c r="H69" s="8">
        <v>413.3</v>
      </c>
      <c r="I69" s="3">
        <v>413.3</v>
      </c>
      <c r="J69" s="133">
        <v>20</v>
      </c>
      <c r="K69" s="8">
        <v>615634.4</v>
      </c>
      <c r="L69" s="2">
        <v>0</v>
      </c>
      <c r="M69" s="2">
        <v>0</v>
      </c>
      <c r="N69" s="8">
        <v>615634.4</v>
      </c>
      <c r="O69" s="2">
        <v>0</v>
      </c>
      <c r="P69" s="2">
        <v>0</v>
      </c>
      <c r="Q69" s="2">
        <v>0</v>
      </c>
      <c r="R69" s="128">
        <v>2026</v>
      </c>
      <c r="S69" s="128">
        <v>2026</v>
      </c>
    </row>
    <row r="70" spans="1:19" ht="45.75" customHeight="1">
      <c r="A70" s="158" t="s">
        <v>116</v>
      </c>
      <c r="B70" s="159"/>
      <c r="C70" s="159"/>
      <c r="D70" s="159"/>
      <c r="E70" s="159"/>
      <c r="F70" s="160"/>
      <c r="G70" s="3">
        <f>G71</f>
        <v>572</v>
      </c>
      <c r="H70" s="3">
        <f t="shared" ref="H70:Q70" si="16">H71</f>
        <v>572</v>
      </c>
      <c r="I70" s="3">
        <f t="shared" si="16"/>
        <v>438.5</v>
      </c>
      <c r="J70" s="66">
        <f t="shared" si="16"/>
        <v>16</v>
      </c>
      <c r="K70" s="8">
        <f t="shared" si="16"/>
        <v>7436289.3399999999</v>
      </c>
      <c r="L70" s="3">
        <f t="shared" ref="L70:M70" si="17">SUM(L71:L82)</f>
        <v>0</v>
      </c>
      <c r="M70" s="3">
        <f t="shared" si="17"/>
        <v>0</v>
      </c>
      <c r="N70" s="63">
        <f t="shared" si="16"/>
        <v>7436289.3399999999</v>
      </c>
      <c r="O70" s="3">
        <f t="shared" si="16"/>
        <v>0</v>
      </c>
      <c r="P70" s="3">
        <f t="shared" si="16"/>
        <v>0</v>
      </c>
      <c r="Q70" s="3">
        <f t="shared" si="16"/>
        <v>0</v>
      </c>
      <c r="R70" s="8" t="s">
        <v>52</v>
      </c>
      <c r="S70" s="8" t="s">
        <v>52</v>
      </c>
    </row>
    <row r="71" spans="1:19">
      <c r="A71" s="76">
        <v>45</v>
      </c>
      <c r="B71" s="121" t="s">
        <v>117</v>
      </c>
      <c r="C71" s="95">
        <v>1974</v>
      </c>
      <c r="D71" s="95" t="s">
        <v>118</v>
      </c>
      <c r="E71" s="95">
        <v>2</v>
      </c>
      <c r="F71" s="95">
        <v>2</v>
      </c>
      <c r="G71" s="3">
        <v>572</v>
      </c>
      <c r="H71" s="3">
        <v>572</v>
      </c>
      <c r="I71" s="3">
        <v>438.5</v>
      </c>
      <c r="J71" s="66">
        <v>16</v>
      </c>
      <c r="K71" s="8">
        <f>SUM(L71:Q71)</f>
        <v>7436289.3399999999</v>
      </c>
      <c r="L71" s="3">
        <v>0</v>
      </c>
      <c r="M71" s="3">
        <v>0</v>
      </c>
      <c r="N71" s="8">
        <v>7436289.3399999999</v>
      </c>
      <c r="O71" s="82">
        <v>0</v>
      </c>
      <c r="P71" s="82">
        <v>0</v>
      </c>
      <c r="Q71" s="82">
        <v>0</v>
      </c>
      <c r="R71" s="128">
        <v>2026</v>
      </c>
      <c r="S71" s="128">
        <v>2026</v>
      </c>
    </row>
    <row r="72" spans="1:19" ht="45.75" customHeight="1">
      <c r="A72" s="158" t="s">
        <v>271</v>
      </c>
      <c r="B72" s="159"/>
      <c r="C72" s="159"/>
      <c r="D72" s="159"/>
      <c r="E72" s="159"/>
      <c r="F72" s="160"/>
      <c r="G72" s="3">
        <f>SUM(G73:G75)</f>
        <v>1070.8</v>
      </c>
      <c r="H72" s="3">
        <f t="shared" ref="H72:Q72" si="18">SUM(H73:H75)</f>
        <v>777.8</v>
      </c>
      <c r="I72" s="3">
        <f t="shared" si="18"/>
        <v>777.8</v>
      </c>
      <c r="J72" s="66">
        <f t="shared" si="18"/>
        <v>53</v>
      </c>
      <c r="K72" s="8">
        <f t="shared" si="18"/>
        <v>12095194.77</v>
      </c>
      <c r="L72" s="3">
        <f t="shared" si="18"/>
        <v>0</v>
      </c>
      <c r="M72" s="3">
        <f t="shared" si="18"/>
        <v>0</v>
      </c>
      <c r="N72" s="63">
        <f t="shared" si="18"/>
        <v>12095194.77</v>
      </c>
      <c r="O72" s="3">
        <f t="shared" si="18"/>
        <v>0</v>
      </c>
      <c r="P72" s="3">
        <f t="shared" si="18"/>
        <v>0</v>
      </c>
      <c r="Q72" s="3">
        <f t="shared" si="18"/>
        <v>0</v>
      </c>
      <c r="R72" s="8" t="s">
        <v>52</v>
      </c>
      <c r="S72" s="8" t="s">
        <v>52</v>
      </c>
    </row>
    <row r="73" spans="1:19" ht="37.5">
      <c r="A73" s="76">
        <v>46</v>
      </c>
      <c r="B73" s="14" t="s">
        <v>272</v>
      </c>
      <c r="C73" s="95">
        <v>1958</v>
      </c>
      <c r="D73" s="76" t="s">
        <v>86</v>
      </c>
      <c r="E73" s="95">
        <v>2</v>
      </c>
      <c r="F73" s="95">
        <v>2</v>
      </c>
      <c r="G73" s="8">
        <v>424.7</v>
      </c>
      <c r="H73" s="8">
        <v>262.10000000000002</v>
      </c>
      <c r="I73" s="8">
        <v>262.10000000000002</v>
      </c>
      <c r="J73" s="58">
        <v>18</v>
      </c>
      <c r="K73" s="8">
        <v>4812541.97</v>
      </c>
      <c r="L73" s="8">
        <v>0</v>
      </c>
      <c r="M73" s="8">
        <v>0</v>
      </c>
      <c r="N73" s="8">
        <v>4812541.97</v>
      </c>
      <c r="O73" s="8">
        <v>0</v>
      </c>
      <c r="P73" s="8">
        <v>0</v>
      </c>
      <c r="Q73" s="8">
        <v>0</v>
      </c>
      <c r="R73" s="133">
        <v>2026</v>
      </c>
      <c r="S73" s="133">
        <v>2026</v>
      </c>
    </row>
    <row r="74" spans="1:19">
      <c r="A74" s="76">
        <v>47</v>
      </c>
      <c r="B74" s="14" t="s">
        <v>273</v>
      </c>
      <c r="C74" s="95">
        <v>1964</v>
      </c>
      <c r="D74" s="76" t="s">
        <v>75</v>
      </c>
      <c r="E74" s="95">
        <v>2</v>
      </c>
      <c r="F74" s="95">
        <v>1</v>
      </c>
      <c r="G74" s="8">
        <v>334.9</v>
      </c>
      <c r="H74" s="8">
        <v>303.5</v>
      </c>
      <c r="I74" s="8">
        <v>303.5</v>
      </c>
      <c r="J74" s="133">
        <v>17</v>
      </c>
      <c r="K74" s="8">
        <v>3564508.13</v>
      </c>
      <c r="L74" s="8">
        <v>0</v>
      </c>
      <c r="M74" s="8">
        <v>0</v>
      </c>
      <c r="N74" s="8">
        <v>3564508.13</v>
      </c>
      <c r="O74" s="8">
        <v>0</v>
      </c>
      <c r="P74" s="8">
        <v>0</v>
      </c>
      <c r="Q74" s="8">
        <v>0</v>
      </c>
      <c r="R74" s="133">
        <v>2026</v>
      </c>
      <c r="S74" s="133">
        <v>2026</v>
      </c>
    </row>
    <row r="75" spans="1:19" ht="37.5">
      <c r="A75" s="76">
        <v>48</v>
      </c>
      <c r="B75" s="14" t="s">
        <v>274</v>
      </c>
      <c r="C75" s="95">
        <v>1917</v>
      </c>
      <c r="D75" s="76" t="s">
        <v>275</v>
      </c>
      <c r="E75" s="95">
        <v>2</v>
      </c>
      <c r="F75" s="95">
        <v>1</v>
      </c>
      <c r="G75" s="8">
        <v>311.2</v>
      </c>
      <c r="H75" s="8">
        <v>212.2</v>
      </c>
      <c r="I75" s="8">
        <v>212.2</v>
      </c>
      <c r="J75" s="133">
        <v>18</v>
      </c>
      <c r="K75" s="8">
        <v>3718144.67</v>
      </c>
      <c r="L75" s="8">
        <v>0</v>
      </c>
      <c r="M75" s="8">
        <v>0</v>
      </c>
      <c r="N75" s="8">
        <v>3718144.67</v>
      </c>
      <c r="O75" s="8">
        <v>0</v>
      </c>
      <c r="P75" s="8">
        <v>0</v>
      </c>
      <c r="Q75" s="8">
        <v>0</v>
      </c>
      <c r="R75" s="133">
        <v>2026</v>
      </c>
      <c r="S75" s="133">
        <v>2026</v>
      </c>
    </row>
    <row r="76" spans="1:19" ht="38.25" customHeight="1">
      <c r="A76" s="158" t="s">
        <v>76</v>
      </c>
      <c r="B76" s="159"/>
      <c r="C76" s="159"/>
      <c r="D76" s="159"/>
      <c r="E76" s="159"/>
      <c r="F76" s="160"/>
      <c r="G76" s="1">
        <f>SUM(G77:G85)</f>
        <v>7805.7</v>
      </c>
      <c r="H76" s="8">
        <f t="shared" ref="H76:Q76" si="19">SUM(H77:H85)</f>
        <v>6859.9199999999992</v>
      </c>
      <c r="I76" s="8">
        <f t="shared" si="19"/>
        <v>6560.62</v>
      </c>
      <c r="J76" s="133">
        <f t="shared" si="19"/>
        <v>359</v>
      </c>
      <c r="K76" s="8">
        <f t="shared" si="19"/>
        <v>54423965.020000003</v>
      </c>
      <c r="L76" s="3">
        <f t="shared" si="19"/>
        <v>0</v>
      </c>
      <c r="M76" s="3">
        <f t="shared" si="19"/>
        <v>0</v>
      </c>
      <c r="N76" s="63">
        <f t="shared" si="19"/>
        <v>54423965.020000003</v>
      </c>
      <c r="O76" s="3">
        <f t="shared" si="19"/>
        <v>0</v>
      </c>
      <c r="P76" s="3">
        <f t="shared" si="19"/>
        <v>0</v>
      </c>
      <c r="Q76" s="3">
        <f t="shared" si="19"/>
        <v>0</v>
      </c>
      <c r="R76" s="8" t="s">
        <v>52</v>
      </c>
      <c r="S76" s="8" t="s">
        <v>52</v>
      </c>
    </row>
    <row r="77" spans="1:19">
      <c r="A77" s="76">
        <v>49</v>
      </c>
      <c r="B77" s="121" t="s">
        <v>481</v>
      </c>
      <c r="C77" s="95">
        <v>1980</v>
      </c>
      <c r="D77" s="95" t="s">
        <v>77</v>
      </c>
      <c r="E77" s="95">
        <v>3</v>
      </c>
      <c r="F77" s="95">
        <v>3</v>
      </c>
      <c r="G77" s="8">
        <v>1323.3</v>
      </c>
      <c r="H77" s="8">
        <v>1323.3</v>
      </c>
      <c r="I77" s="8">
        <v>1308.2</v>
      </c>
      <c r="J77" s="133">
        <v>56</v>
      </c>
      <c r="K77" s="8">
        <f>L77+M77+N77+O77+P77+Q77</f>
        <v>7816085.0999999996</v>
      </c>
      <c r="L77" s="3">
        <v>0</v>
      </c>
      <c r="M77" s="3">
        <v>0</v>
      </c>
      <c r="N77" s="8">
        <v>7816085.0999999996</v>
      </c>
      <c r="O77" s="1">
        <v>0</v>
      </c>
      <c r="P77" s="1">
        <v>0</v>
      </c>
      <c r="Q77" s="1">
        <v>0</v>
      </c>
      <c r="R77" s="128">
        <v>2026</v>
      </c>
      <c r="S77" s="128">
        <v>2026</v>
      </c>
    </row>
    <row r="78" spans="1:19">
      <c r="A78" s="76">
        <v>50</v>
      </c>
      <c r="B78" s="121" t="s">
        <v>78</v>
      </c>
      <c r="C78" s="95">
        <v>1965</v>
      </c>
      <c r="D78" s="95" t="s">
        <v>75</v>
      </c>
      <c r="E78" s="95">
        <v>2</v>
      </c>
      <c r="F78" s="95">
        <v>2</v>
      </c>
      <c r="G78" s="8">
        <v>624.5</v>
      </c>
      <c r="H78" s="8">
        <v>404.2</v>
      </c>
      <c r="I78" s="8">
        <v>404.2</v>
      </c>
      <c r="J78" s="133">
        <v>32</v>
      </c>
      <c r="K78" s="8">
        <f>L78+M78+N78+O78+P78+Q78</f>
        <v>6454137.9199999999</v>
      </c>
      <c r="L78" s="3">
        <v>0</v>
      </c>
      <c r="M78" s="3">
        <v>0</v>
      </c>
      <c r="N78" s="8">
        <v>6454137.9199999999</v>
      </c>
      <c r="O78" s="1">
        <v>0</v>
      </c>
      <c r="P78" s="1">
        <v>0</v>
      </c>
      <c r="Q78" s="1">
        <v>0</v>
      </c>
      <c r="R78" s="128">
        <v>2026</v>
      </c>
      <c r="S78" s="128">
        <v>2026</v>
      </c>
    </row>
    <row r="79" spans="1:19">
      <c r="A79" s="76">
        <v>51</v>
      </c>
      <c r="B79" s="121" t="s">
        <v>573</v>
      </c>
      <c r="C79" s="95">
        <v>1959</v>
      </c>
      <c r="D79" s="95" t="s">
        <v>75</v>
      </c>
      <c r="E79" s="95">
        <v>2</v>
      </c>
      <c r="F79" s="95">
        <v>2</v>
      </c>
      <c r="G79" s="8">
        <v>580</v>
      </c>
      <c r="H79" s="8">
        <v>531</v>
      </c>
      <c r="I79" s="8">
        <v>531</v>
      </c>
      <c r="J79" s="133">
        <v>20</v>
      </c>
      <c r="K79" s="8">
        <f>L79+M79+N79+O79+P79+Q79</f>
        <v>6622506.7300000004</v>
      </c>
      <c r="L79" s="3">
        <v>0</v>
      </c>
      <c r="M79" s="3">
        <v>0</v>
      </c>
      <c r="N79" s="8">
        <v>6622506.7300000004</v>
      </c>
      <c r="O79" s="1">
        <v>0</v>
      </c>
      <c r="P79" s="1">
        <v>0</v>
      </c>
      <c r="Q79" s="1">
        <v>0</v>
      </c>
      <c r="R79" s="128">
        <v>2026</v>
      </c>
      <c r="S79" s="128">
        <v>2026</v>
      </c>
    </row>
    <row r="80" spans="1:19">
      <c r="A80" s="76">
        <v>52</v>
      </c>
      <c r="B80" s="121" t="s">
        <v>90</v>
      </c>
      <c r="C80" s="95">
        <v>1988</v>
      </c>
      <c r="D80" s="95" t="s">
        <v>77</v>
      </c>
      <c r="E80" s="95">
        <v>3</v>
      </c>
      <c r="F80" s="95">
        <v>2</v>
      </c>
      <c r="G80" s="8">
        <v>1686</v>
      </c>
      <c r="H80" s="8">
        <v>1483.12</v>
      </c>
      <c r="I80" s="8">
        <v>1381.62</v>
      </c>
      <c r="J80" s="133">
        <v>59</v>
      </c>
      <c r="K80" s="8">
        <v>5262830.63</v>
      </c>
      <c r="L80" s="3">
        <v>0</v>
      </c>
      <c r="M80" s="3">
        <v>0</v>
      </c>
      <c r="N80" s="8">
        <v>5262830.63</v>
      </c>
      <c r="O80" s="1">
        <v>0</v>
      </c>
      <c r="P80" s="1">
        <v>0</v>
      </c>
      <c r="Q80" s="1">
        <v>0</v>
      </c>
      <c r="R80" s="128">
        <v>2026</v>
      </c>
      <c r="S80" s="128">
        <v>2026</v>
      </c>
    </row>
    <row r="81" spans="1:19">
      <c r="A81" s="76">
        <v>53</v>
      </c>
      <c r="B81" s="121" t="s">
        <v>79</v>
      </c>
      <c r="C81" s="95">
        <v>1988</v>
      </c>
      <c r="D81" s="95" t="s">
        <v>75</v>
      </c>
      <c r="E81" s="95">
        <v>3</v>
      </c>
      <c r="F81" s="95">
        <v>3</v>
      </c>
      <c r="G81" s="8">
        <v>1426.9</v>
      </c>
      <c r="H81" s="8">
        <v>1282.5999999999999</v>
      </c>
      <c r="I81" s="8">
        <v>1282.5999999999999</v>
      </c>
      <c r="J81" s="133">
        <v>74</v>
      </c>
      <c r="K81" s="8">
        <v>5566789.5</v>
      </c>
      <c r="L81" s="3">
        <v>0</v>
      </c>
      <c r="M81" s="3">
        <v>0</v>
      </c>
      <c r="N81" s="8">
        <v>5566789.5</v>
      </c>
      <c r="O81" s="1">
        <v>0</v>
      </c>
      <c r="P81" s="1">
        <v>0</v>
      </c>
      <c r="Q81" s="1">
        <v>0</v>
      </c>
      <c r="R81" s="128">
        <v>2026</v>
      </c>
      <c r="S81" s="128">
        <v>2026</v>
      </c>
    </row>
    <row r="82" spans="1:19">
      <c r="A82" s="76">
        <v>54</v>
      </c>
      <c r="B82" s="121" t="s">
        <v>80</v>
      </c>
      <c r="C82" s="95">
        <v>1970</v>
      </c>
      <c r="D82" s="95" t="s">
        <v>75</v>
      </c>
      <c r="E82" s="95">
        <v>2</v>
      </c>
      <c r="F82" s="95">
        <v>2</v>
      </c>
      <c r="G82" s="3">
        <v>536.9</v>
      </c>
      <c r="H82" s="8">
        <v>536.9</v>
      </c>
      <c r="I82" s="8">
        <v>488.5</v>
      </c>
      <c r="J82" s="133">
        <v>34</v>
      </c>
      <c r="K82" s="8">
        <v>8418440.7599999998</v>
      </c>
      <c r="L82" s="3">
        <v>0</v>
      </c>
      <c r="M82" s="3">
        <v>0</v>
      </c>
      <c r="N82" s="8">
        <v>8418440.7599999998</v>
      </c>
      <c r="O82" s="1">
        <v>0</v>
      </c>
      <c r="P82" s="1">
        <v>0</v>
      </c>
      <c r="Q82" s="1">
        <v>0</v>
      </c>
      <c r="R82" s="128">
        <v>2026</v>
      </c>
      <c r="S82" s="128">
        <v>2026</v>
      </c>
    </row>
    <row r="83" spans="1:19">
      <c r="A83" s="76">
        <v>55</v>
      </c>
      <c r="B83" s="121" t="s">
        <v>81</v>
      </c>
      <c r="C83" s="95">
        <v>1975</v>
      </c>
      <c r="D83" s="95" t="s">
        <v>77</v>
      </c>
      <c r="E83" s="95">
        <v>2</v>
      </c>
      <c r="F83" s="95">
        <v>2</v>
      </c>
      <c r="G83" s="3">
        <v>556.4</v>
      </c>
      <c r="H83" s="8">
        <v>373.5</v>
      </c>
      <c r="I83" s="8">
        <v>318</v>
      </c>
      <c r="J83" s="133">
        <v>37</v>
      </c>
      <c r="K83" s="8">
        <v>4903153.5999999996</v>
      </c>
      <c r="L83" s="3">
        <v>0</v>
      </c>
      <c r="M83" s="3">
        <v>0</v>
      </c>
      <c r="N83" s="8">
        <v>4903153.5999999996</v>
      </c>
      <c r="O83" s="1">
        <v>0</v>
      </c>
      <c r="P83" s="1">
        <v>0</v>
      </c>
      <c r="Q83" s="1">
        <v>0</v>
      </c>
      <c r="R83" s="128">
        <v>2026</v>
      </c>
      <c r="S83" s="128">
        <v>2026</v>
      </c>
    </row>
    <row r="84" spans="1:19">
      <c r="A84" s="76">
        <v>56</v>
      </c>
      <c r="B84" s="121" t="s">
        <v>82</v>
      </c>
      <c r="C84" s="95">
        <v>1970</v>
      </c>
      <c r="D84" s="95" t="s">
        <v>75</v>
      </c>
      <c r="E84" s="95">
        <v>2</v>
      </c>
      <c r="F84" s="95">
        <v>2</v>
      </c>
      <c r="G84" s="3">
        <v>544</v>
      </c>
      <c r="H84" s="8">
        <v>544</v>
      </c>
      <c r="I84" s="8">
        <v>542.70000000000005</v>
      </c>
      <c r="J84" s="133">
        <v>22</v>
      </c>
      <c r="K84" s="8">
        <v>5040993.25</v>
      </c>
      <c r="L84" s="3">
        <v>0</v>
      </c>
      <c r="M84" s="3">
        <v>0</v>
      </c>
      <c r="N84" s="8">
        <v>5040993.25</v>
      </c>
      <c r="O84" s="1">
        <v>0</v>
      </c>
      <c r="P84" s="1">
        <v>0</v>
      </c>
      <c r="Q84" s="1">
        <v>0</v>
      </c>
      <c r="R84" s="128">
        <v>2026</v>
      </c>
      <c r="S84" s="128">
        <v>2026</v>
      </c>
    </row>
    <row r="85" spans="1:19">
      <c r="A85" s="76">
        <v>57</v>
      </c>
      <c r="B85" s="121" t="s">
        <v>83</v>
      </c>
      <c r="C85" s="95">
        <v>1965</v>
      </c>
      <c r="D85" s="95" t="s">
        <v>75</v>
      </c>
      <c r="E85" s="95">
        <v>2</v>
      </c>
      <c r="F85" s="95">
        <v>2</v>
      </c>
      <c r="G85" s="3">
        <v>527.70000000000005</v>
      </c>
      <c r="H85" s="8">
        <v>381.3</v>
      </c>
      <c r="I85" s="8">
        <v>303.8</v>
      </c>
      <c r="J85" s="133">
        <v>25</v>
      </c>
      <c r="K85" s="8">
        <v>4339027.53</v>
      </c>
      <c r="L85" s="3">
        <v>0</v>
      </c>
      <c r="M85" s="3">
        <v>0</v>
      </c>
      <c r="N85" s="8">
        <v>4339027.53</v>
      </c>
      <c r="O85" s="1">
        <v>0</v>
      </c>
      <c r="P85" s="1">
        <v>0</v>
      </c>
      <c r="Q85" s="1">
        <v>0</v>
      </c>
      <c r="R85" s="128">
        <v>2026</v>
      </c>
      <c r="S85" s="128">
        <v>2026</v>
      </c>
    </row>
    <row r="86" spans="1:19" ht="36.75" customHeight="1">
      <c r="A86" s="158" t="s">
        <v>270</v>
      </c>
      <c r="B86" s="159"/>
      <c r="C86" s="159"/>
      <c r="D86" s="159"/>
      <c r="E86" s="159"/>
      <c r="F86" s="160"/>
      <c r="G86" s="1">
        <f>SUM(G87:G89)</f>
        <v>14472.2</v>
      </c>
      <c r="H86" s="8">
        <f t="shared" ref="H86:Q86" si="20">SUM(H87:H89)</f>
        <v>14472.2</v>
      </c>
      <c r="I86" s="8">
        <f t="shared" si="20"/>
        <v>12998.5</v>
      </c>
      <c r="J86" s="133">
        <f t="shared" si="20"/>
        <v>477</v>
      </c>
      <c r="K86" s="8">
        <f t="shared" si="20"/>
        <v>47276019.999999993</v>
      </c>
      <c r="L86" s="3">
        <f t="shared" si="20"/>
        <v>0</v>
      </c>
      <c r="M86" s="3">
        <f t="shared" si="20"/>
        <v>0</v>
      </c>
      <c r="N86" s="63">
        <f t="shared" si="20"/>
        <v>47276019.999999993</v>
      </c>
      <c r="O86" s="3">
        <f t="shared" si="20"/>
        <v>0</v>
      </c>
      <c r="P86" s="3">
        <f t="shared" si="20"/>
        <v>0</v>
      </c>
      <c r="Q86" s="3">
        <f t="shared" si="20"/>
        <v>0</v>
      </c>
      <c r="R86" s="8" t="s">
        <v>52</v>
      </c>
      <c r="S86" s="8" t="s">
        <v>52</v>
      </c>
    </row>
    <row r="87" spans="1:19">
      <c r="A87" s="76">
        <v>58</v>
      </c>
      <c r="B87" s="124" t="s">
        <v>669</v>
      </c>
      <c r="C87" s="83">
        <v>1990</v>
      </c>
      <c r="D87" s="95" t="s">
        <v>75</v>
      </c>
      <c r="E87" s="64">
        <v>5</v>
      </c>
      <c r="F87" s="64">
        <v>10</v>
      </c>
      <c r="G87" s="8">
        <v>7974.9</v>
      </c>
      <c r="H87" s="8">
        <v>7974.9</v>
      </c>
      <c r="I87" s="8">
        <v>7180.7</v>
      </c>
      <c r="J87" s="133">
        <v>274</v>
      </c>
      <c r="K87" s="1">
        <v>27199976.149999999</v>
      </c>
      <c r="L87" s="1">
        <v>0</v>
      </c>
      <c r="M87" s="1">
        <v>0</v>
      </c>
      <c r="N87" s="1">
        <v>27199976.149999999</v>
      </c>
      <c r="O87" s="1">
        <v>0</v>
      </c>
      <c r="P87" s="1">
        <v>0</v>
      </c>
      <c r="Q87" s="1">
        <v>0</v>
      </c>
      <c r="R87" s="128">
        <v>2026</v>
      </c>
      <c r="S87" s="128">
        <v>2026</v>
      </c>
    </row>
    <row r="88" spans="1:19">
      <c r="A88" s="76">
        <v>59</v>
      </c>
      <c r="B88" s="124" t="s">
        <v>670</v>
      </c>
      <c r="C88" s="83">
        <v>2001</v>
      </c>
      <c r="D88" s="84" t="s">
        <v>232</v>
      </c>
      <c r="E88" s="64">
        <v>5</v>
      </c>
      <c r="F88" s="64">
        <v>3</v>
      </c>
      <c r="G88" s="8">
        <v>2443.3000000000002</v>
      </c>
      <c r="H88" s="8">
        <v>2443.3000000000002</v>
      </c>
      <c r="I88" s="8">
        <v>2177</v>
      </c>
      <c r="J88" s="133">
        <v>53</v>
      </c>
      <c r="K88" s="1">
        <v>10523050.949999999</v>
      </c>
      <c r="L88" s="1">
        <v>0</v>
      </c>
      <c r="M88" s="1">
        <v>0</v>
      </c>
      <c r="N88" s="1">
        <v>10523050.949999999</v>
      </c>
      <c r="O88" s="1">
        <v>0</v>
      </c>
      <c r="P88" s="1">
        <v>0</v>
      </c>
      <c r="Q88" s="1">
        <v>0</v>
      </c>
      <c r="R88" s="128">
        <v>2026</v>
      </c>
      <c r="S88" s="128">
        <v>2026</v>
      </c>
    </row>
    <row r="89" spans="1:19">
      <c r="A89" s="76">
        <v>60</v>
      </c>
      <c r="B89" s="124" t="s">
        <v>671</v>
      </c>
      <c r="C89" s="83">
        <v>1983</v>
      </c>
      <c r="D89" s="95" t="s">
        <v>75</v>
      </c>
      <c r="E89" s="64">
        <v>5</v>
      </c>
      <c r="F89" s="64">
        <v>5</v>
      </c>
      <c r="G89" s="8">
        <v>4054</v>
      </c>
      <c r="H89" s="8">
        <v>4054</v>
      </c>
      <c r="I89" s="8">
        <v>3640.8</v>
      </c>
      <c r="J89" s="133">
        <v>150</v>
      </c>
      <c r="K89" s="1">
        <v>9552992.9000000004</v>
      </c>
      <c r="L89" s="1">
        <v>0</v>
      </c>
      <c r="M89" s="1">
        <v>0</v>
      </c>
      <c r="N89" s="1">
        <v>9552992.9000000004</v>
      </c>
      <c r="O89" s="1">
        <v>0</v>
      </c>
      <c r="P89" s="1">
        <v>0</v>
      </c>
      <c r="Q89" s="1">
        <v>0</v>
      </c>
      <c r="R89" s="128">
        <v>2026</v>
      </c>
      <c r="S89" s="128">
        <v>2026</v>
      </c>
    </row>
    <row r="90" spans="1:19" ht="36.75" customHeight="1">
      <c r="A90" s="158" t="s">
        <v>161</v>
      </c>
      <c r="B90" s="159"/>
      <c r="C90" s="159"/>
      <c r="D90" s="159"/>
      <c r="E90" s="159"/>
      <c r="F90" s="160"/>
      <c r="G90" s="1">
        <f>G91+G92+G93</f>
        <v>1620.1799999999998</v>
      </c>
      <c r="H90" s="8">
        <f t="shared" ref="H90:N90" si="21">H91+H92+H93</f>
        <v>1493.2799999999997</v>
      </c>
      <c r="I90" s="8">
        <f t="shared" si="21"/>
        <v>1237.48</v>
      </c>
      <c r="J90" s="133">
        <f t="shared" si="21"/>
        <v>42</v>
      </c>
      <c r="K90" s="8">
        <f t="shared" si="21"/>
        <v>18237452.509999998</v>
      </c>
      <c r="L90" s="3">
        <f>SUM(L91:L117)</f>
        <v>0</v>
      </c>
      <c r="M90" s="3">
        <f>SUM(M91:M117)</f>
        <v>0</v>
      </c>
      <c r="N90" s="63">
        <f t="shared" si="21"/>
        <v>18237452.509999998</v>
      </c>
      <c r="O90" s="3">
        <f>SUM(O91:O117)</f>
        <v>0</v>
      </c>
      <c r="P90" s="3">
        <f>SUM(P91:P117)</f>
        <v>0</v>
      </c>
      <c r="Q90" s="3">
        <f>SUM(Q91:Q117)</f>
        <v>0</v>
      </c>
      <c r="R90" s="8" t="s">
        <v>52</v>
      </c>
      <c r="S90" s="8" t="s">
        <v>52</v>
      </c>
    </row>
    <row r="91" spans="1:19">
      <c r="A91" s="76">
        <v>61</v>
      </c>
      <c r="B91" s="9" t="s">
        <v>162</v>
      </c>
      <c r="C91" s="95" t="s">
        <v>163</v>
      </c>
      <c r="D91" s="95" t="s">
        <v>75</v>
      </c>
      <c r="E91" s="95">
        <v>2</v>
      </c>
      <c r="F91" s="95">
        <v>1</v>
      </c>
      <c r="G91" s="3">
        <v>429.9</v>
      </c>
      <c r="H91" s="8">
        <v>429.9</v>
      </c>
      <c r="I91" s="8">
        <v>276.10000000000002</v>
      </c>
      <c r="J91" s="133">
        <v>13</v>
      </c>
      <c r="K91" s="8">
        <f>L91+M91+N91+O91+P91+Q91</f>
        <v>5198690.84</v>
      </c>
      <c r="L91" s="3">
        <v>0</v>
      </c>
      <c r="M91" s="3">
        <v>0</v>
      </c>
      <c r="N91" s="8">
        <v>5198690.84</v>
      </c>
      <c r="O91" s="3">
        <v>0</v>
      </c>
      <c r="P91" s="3">
        <v>0</v>
      </c>
      <c r="Q91" s="3">
        <v>0</v>
      </c>
      <c r="R91" s="128">
        <v>2026</v>
      </c>
      <c r="S91" s="128">
        <v>2026</v>
      </c>
    </row>
    <row r="92" spans="1:19">
      <c r="A92" s="76">
        <v>62</v>
      </c>
      <c r="B92" s="9" t="s">
        <v>164</v>
      </c>
      <c r="C92" s="95" t="s">
        <v>163</v>
      </c>
      <c r="D92" s="95" t="s">
        <v>75</v>
      </c>
      <c r="E92" s="95">
        <v>1</v>
      </c>
      <c r="F92" s="95">
        <v>1</v>
      </c>
      <c r="G92" s="3">
        <v>353.1</v>
      </c>
      <c r="H92" s="8">
        <v>226.2</v>
      </c>
      <c r="I92" s="8">
        <v>226.2</v>
      </c>
      <c r="J92" s="133">
        <v>6</v>
      </c>
      <c r="K92" s="8">
        <f t="shared" ref="K92:K93" si="22">L92+M92+N92+O92+P92+Q92</f>
        <v>4774658.99</v>
      </c>
      <c r="L92" s="3">
        <v>0</v>
      </c>
      <c r="M92" s="3">
        <v>0</v>
      </c>
      <c r="N92" s="8">
        <v>4774658.99</v>
      </c>
      <c r="O92" s="3">
        <v>0</v>
      </c>
      <c r="P92" s="3">
        <v>0</v>
      </c>
      <c r="Q92" s="3">
        <v>0</v>
      </c>
      <c r="R92" s="128">
        <v>2026</v>
      </c>
      <c r="S92" s="128">
        <v>2026</v>
      </c>
    </row>
    <row r="93" spans="1:19">
      <c r="A93" s="76">
        <v>63</v>
      </c>
      <c r="B93" s="9" t="s">
        <v>165</v>
      </c>
      <c r="C93" s="95">
        <v>1976</v>
      </c>
      <c r="D93" s="95" t="s">
        <v>75</v>
      </c>
      <c r="E93" s="95">
        <v>2</v>
      </c>
      <c r="F93" s="95">
        <v>2</v>
      </c>
      <c r="G93" s="133">
        <v>837.18</v>
      </c>
      <c r="H93" s="8">
        <v>837.18</v>
      </c>
      <c r="I93" s="8">
        <v>735.18</v>
      </c>
      <c r="J93" s="133">
        <v>23</v>
      </c>
      <c r="K93" s="8">
        <f t="shared" si="22"/>
        <v>8264102.6799999997</v>
      </c>
      <c r="L93" s="3">
        <v>0</v>
      </c>
      <c r="M93" s="3">
        <v>0</v>
      </c>
      <c r="N93" s="8">
        <v>8264102.6799999997</v>
      </c>
      <c r="O93" s="3">
        <v>0</v>
      </c>
      <c r="P93" s="3">
        <v>0</v>
      </c>
      <c r="Q93" s="3">
        <v>0</v>
      </c>
      <c r="R93" s="128">
        <v>2026</v>
      </c>
      <c r="S93" s="128">
        <v>2026</v>
      </c>
    </row>
    <row r="94" spans="1:19" ht="30.75" customHeight="1">
      <c r="A94" s="158" t="s">
        <v>48</v>
      </c>
      <c r="B94" s="159"/>
      <c r="C94" s="159"/>
      <c r="D94" s="159"/>
      <c r="E94" s="159"/>
      <c r="F94" s="160"/>
      <c r="G94" s="1">
        <f t="shared" ref="G94:M94" si="23">G95</f>
        <v>1233.9000000000001</v>
      </c>
      <c r="H94" s="8">
        <f t="shared" si="23"/>
        <v>1156.5</v>
      </c>
      <c r="I94" s="8">
        <f t="shared" si="23"/>
        <v>664.2</v>
      </c>
      <c r="J94" s="133">
        <f t="shared" si="23"/>
        <v>53</v>
      </c>
      <c r="K94" s="8">
        <f t="shared" si="23"/>
        <v>1560367.15</v>
      </c>
      <c r="L94" s="1">
        <f t="shared" si="23"/>
        <v>0</v>
      </c>
      <c r="M94" s="1">
        <f t="shared" si="23"/>
        <v>0</v>
      </c>
      <c r="N94" s="63">
        <f t="shared" ref="N94:Q94" si="24">N95</f>
        <v>1560367.15</v>
      </c>
      <c r="O94" s="1">
        <f t="shared" si="24"/>
        <v>0</v>
      </c>
      <c r="P94" s="1">
        <f t="shared" si="24"/>
        <v>0</v>
      </c>
      <c r="Q94" s="1">
        <f t="shared" si="24"/>
        <v>0</v>
      </c>
      <c r="R94" s="8" t="s">
        <v>52</v>
      </c>
      <c r="S94" s="8" t="s">
        <v>52</v>
      </c>
    </row>
    <row r="95" spans="1:19">
      <c r="A95" s="76">
        <v>64</v>
      </c>
      <c r="B95" s="121" t="s">
        <v>49</v>
      </c>
      <c r="C95" s="76">
        <v>1985</v>
      </c>
      <c r="D95" s="76" t="s">
        <v>77</v>
      </c>
      <c r="E95" s="76">
        <v>2</v>
      </c>
      <c r="F95" s="76">
        <v>4</v>
      </c>
      <c r="G95" s="8">
        <v>1233.9000000000001</v>
      </c>
      <c r="H95" s="8">
        <v>1156.5</v>
      </c>
      <c r="I95" s="8">
        <v>664.2</v>
      </c>
      <c r="J95" s="128">
        <v>53</v>
      </c>
      <c r="K95" s="8">
        <f>L95+M95+N95+O95+P95+Q95</f>
        <v>1560367.15</v>
      </c>
      <c r="L95" s="3">
        <v>0</v>
      </c>
      <c r="M95" s="3">
        <v>0</v>
      </c>
      <c r="N95" s="8">
        <v>1560367.15</v>
      </c>
      <c r="O95" s="1">
        <v>0</v>
      </c>
      <c r="P95" s="1">
        <v>0</v>
      </c>
      <c r="Q95" s="1">
        <v>0</v>
      </c>
      <c r="R95" s="128">
        <v>2026</v>
      </c>
      <c r="S95" s="128">
        <v>2026</v>
      </c>
    </row>
    <row r="96" spans="1:19" ht="42.75" customHeight="1">
      <c r="A96" s="158" t="s">
        <v>143</v>
      </c>
      <c r="B96" s="159"/>
      <c r="C96" s="159"/>
      <c r="D96" s="159"/>
      <c r="E96" s="159"/>
      <c r="F96" s="160"/>
      <c r="G96" s="3">
        <f>G97</f>
        <v>509.5</v>
      </c>
      <c r="H96" s="8">
        <f t="shared" ref="H96:N96" si="25">H97</f>
        <v>463.5</v>
      </c>
      <c r="I96" s="8">
        <f t="shared" si="25"/>
        <v>463.5</v>
      </c>
      <c r="J96" s="128">
        <f t="shared" si="25"/>
        <v>29</v>
      </c>
      <c r="K96" s="1">
        <f t="shared" si="25"/>
        <v>6597952.9500000002</v>
      </c>
      <c r="L96" s="1">
        <f>L97</f>
        <v>0</v>
      </c>
      <c r="M96" s="1">
        <f>M97</f>
        <v>0</v>
      </c>
      <c r="N96" s="1">
        <f t="shared" si="25"/>
        <v>6597952.9500000002</v>
      </c>
      <c r="O96" s="1">
        <f>O97</f>
        <v>0</v>
      </c>
      <c r="P96" s="1">
        <f>P97</f>
        <v>0</v>
      </c>
      <c r="Q96" s="1">
        <f>Q97</f>
        <v>0</v>
      </c>
      <c r="R96" s="8" t="s">
        <v>52</v>
      </c>
      <c r="S96" s="8" t="s">
        <v>52</v>
      </c>
    </row>
    <row r="97" spans="1:19">
      <c r="A97" s="76">
        <v>65</v>
      </c>
      <c r="B97" s="121" t="s">
        <v>672</v>
      </c>
      <c r="C97" s="76">
        <v>1955</v>
      </c>
      <c r="D97" s="76" t="s">
        <v>75</v>
      </c>
      <c r="E97" s="76">
        <v>2</v>
      </c>
      <c r="F97" s="76">
        <v>2</v>
      </c>
      <c r="G97" s="2">
        <v>509.5</v>
      </c>
      <c r="H97" s="8">
        <v>463.5</v>
      </c>
      <c r="I97" s="8">
        <v>463.5</v>
      </c>
      <c r="J97" s="128">
        <v>29</v>
      </c>
      <c r="K97" s="8">
        <v>6597952.9500000002</v>
      </c>
      <c r="L97" s="3">
        <v>0</v>
      </c>
      <c r="M97" s="3">
        <v>0</v>
      </c>
      <c r="N97" s="1">
        <v>6597952.9500000002</v>
      </c>
      <c r="O97" s="1">
        <v>0</v>
      </c>
      <c r="P97" s="1">
        <v>0</v>
      </c>
      <c r="Q97" s="1">
        <v>0</v>
      </c>
      <c r="R97" s="128">
        <v>2026</v>
      </c>
      <c r="S97" s="128">
        <v>2026</v>
      </c>
    </row>
    <row r="98" spans="1:19" ht="30.75" customHeight="1">
      <c r="A98" s="158" t="s">
        <v>233</v>
      </c>
      <c r="B98" s="159"/>
      <c r="C98" s="159"/>
      <c r="D98" s="159"/>
      <c r="E98" s="159"/>
      <c r="F98" s="160"/>
      <c r="G98" s="1">
        <f>SUM(G99:G117)</f>
        <v>68934.600000000006</v>
      </c>
      <c r="H98" s="8">
        <f t="shared" ref="H98:Q98" si="26">SUM(H99:H117)</f>
        <v>56770.000000000007</v>
      </c>
      <c r="I98" s="8">
        <f t="shared" si="26"/>
        <v>55996.500000000007</v>
      </c>
      <c r="J98" s="16">
        <f t="shared" si="26"/>
        <v>2683</v>
      </c>
      <c r="K98" s="1">
        <f t="shared" si="26"/>
        <v>242523995.75</v>
      </c>
      <c r="L98" s="1">
        <f t="shared" si="26"/>
        <v>0</v>
      </c>
      <c r="M98" s="1">
        <f t="shared" si="26"/>
        <v>0</v>
      </c>
      <c r="N98" s="1">
        <f t="shared" si="26"/>
        <v>242523995.75</v>
      </c>
      <c r="O98" s="1">
        <f t="shared" si="26"/>
        <v>0</v>
      </c>
      <c r="P98" s="1">
        <f t="shared" si="26"/>
        <v>0</v>
      </c>
      <c r="Q98" s="1">
        <f t="shared" si="26"/>
        <v>0</v>
      </c>
      <c r="R98" s="8" t="s">
        <v>52</v>
      </c>
      <c r="S98" s="8" t="s">
        <v>52</v>
      </c>
    </row>
    <row r="99" spans="1:19">
      <c r="A99" s="76">
        <v>66</v>
      </c>
      <c r="B99" s="20" t="s">
        <v>673</v>
      </c>
      <c r="C99" s="76">
        <v>1981</v>
      </c>
      <c r="D99" s="95" t="s">
        <v>75</v>
      </c>
      <c r="E99" s="76">
        <v>5</v>
      </c>
      <c r="F99" s="76">
        <v>4</v>
      </c>
      <c r="G99" s="1">
        <v>3066.9</v>
      </c>
      <c r="H99" s="1">
        <v>3066.9</v>
      </c>
      <c r="I99" s="8">
        <v>2817.7</v>
      </c>
      <c r="J99" s="15">
        <v>114</v>
      </c>
      <c r="K99" s="1">
        <v>7295012.7599999998</v>
      </c>
      <c r="L99" s="1">
        <v>0</v>
      </c>
      <c r="M99" s="1">
        <v>0</v>
      </c>
      <c r="N99" s="1">
        <v>7295012.7599999998</v>
      </c>
      <c r="O99" s="1">
        <v>0</v>
      </c>
      <c r="P99" s="1">
        <v>0</v>
      </c>
      <c r="Q99" s="1">
        <v>0</v>
      </c>
      <c r="R99" s="128">
        <v>2026</v>
      </c>
      <c r="S99" s="128">
        <v>2026</v>
      </c>
    </row>
    <row r="100" spans="1:19">
      <c r="A100" s="76">
        <v>67</v>
      </c>
      <c r="B100" s="20" t="s">
        <v>674</v>
      </c>
      <c r="C100" s="76">
        <v>1983</v>
      </c>
      <c r="D100" s="95" t="s">
        <v>75</v>
      </c>
      <c r="E100" s="76">
        <v>3</v>
      </c>
      <c r="F100" s="76">
        <v>4</v>
      </c>
      <c r="G100" s="1">
        <v>2168.4</v>
      </c>
      <c r="H100" s="1">
        <v>2168.4</v>
      </c>
      <c r="I100" s="8">
        <v>1998.1</v>
      </c>
      <c r="J100" s="15">
        <v>66</v>
      </c>
      <c r="K100" s="1">
        <v>13425582.810000001</v>
      </c>
      <c r="L100" s="1">
        <v>0</v>
      </c>
      <c r="M100" s="1">
        <v>0</v>
      </c>
      <c r="N100" s="1">
        <v>13425582.810000001</v>
      </c>
      <c r="O100" s="1">
        <v>0</v>
      </c>
      <c r="P100" s="1">
        <v>0</v>
      </c>
      <c r="Q100" s="1">
        <v>0</v>
      </c>
      <c r="R100" s="128">
        <v>2026</v>
      </c>
      <c r="S100" s="128">
        <v>2026</v>
      </c>
    </row>
    <row r="101" spans="1:19">
      <c r="A101" s="76">
        <v>68</v>
      </c>
      <c r="B101" s="20" t="s">
        <v>675</v>
      </c>
      <c r="C101" s="76">
        <v>1981</v>
      </c>
      <c r="D101" s="76" t="s">
        <v>77</v>
      </c>
      <c r="E101" s="76">
        <v>5</v>
      </c>
      <c r="F101" s="76">
        <v>8</v>
      </c>
      <c r="G101" s="1">
        <v>4478.8999999999996</v>
      </c>
      <c r="H101" s="1">
        <v>4021.9</v>
      </c>
      <c r="I101" s="8">
        <v>4021.9</v>
      </c>
      <c r="J101" s="15">
        <v>184</v>
      </c>
      <c r="K101" s="1">
        <v>8898526.0399999991</v>
      </c>
      <c r="L101" s="1">
        <v>0</v>
      </c>
      <c r="M101" s="1">
        <v>0</v>
      </c>
      <c r="N101" s="1">
        <v>8898526.0399999991</v>
      </c>
      <c r="O101" s="1">
        <v>0</v>
      </c>
      <c r="P101" s="1">
        <v>0</v>
      </c>
      <c r="Q101" s="1">
        <v>0</v>
      </c>
      <c r="R101" s="128">
        <v>2026</v>
      </c>
      <c r="S101" s="128">
        <v>2026</v>
      </c>
    </row>
    <row r="102" spans="1:19">
      <c r="A102" s="76">
        <v>69</v>
      </c>
      <c r="B102" s="20" t="s">
        <v>676</v>
      </c>
      <c r="C102" s="76">
        <v>1974</v>
      </c>
      <c r="D102" s="76" t="s">
        <v>77</v>
      </c>
      <c r="E102" s="76">
        <v>5</v>
      </c>
      <c r="F102" s="76">
        <v>8</v>
      </c>
      <c r="G102" s="1">
        <v>4253.7</v>
      </c>
      <c r="H102" s="1">
        <v>3810.2</v>
      </c>
      <c r="I102" s="1">
        <v>3810.2</v>
      </c>
      <c r="J102" s="15">
        <v>171</v>
      </c>
      <c r="K102" s="1">
        <v>23108834.879999999</v>
      </c>
      <c r="L102" s="1">
        <v>0</v>
      </c>
      <c r="M102" s="1">
        <v>0</v>
      </c>
      <c r="N102" s="1">
        <v>23108834.879999999</v>
      </c>
      <c r="O102" s="1">
        <v>0</v>
      </c>
      <c r="P102" s="1">
        <v>0</v>
      </c>
      <c r="Q102" s="1">
        <v>0</v>
      </c>
      <c r="R102" s="128">
        <v>2026</v>
      </c>
      <c r="S102" s="128">
        <v>2026</v>
      </c>
    </row>
    <row r="103" spans="1:19">
      <c r="A103" s="76">
        <v>70</v>
      </c>
      <c r="B103" s="20" t="s">
        <v>677</v>
      </c>
      <c r="C103" s="76">
        <v>1981</v>
      </c>
      <c r="D103" s="95" t="s">
        <v>75</v>
      </c>
      <c r="E103" s="76">
        <v>5</v>
      </c>
      <c r="F103" s="76">
        <v>6</v>
      </c>
      <c r="G103" s="1">
        <v>4711.3</v>
      </c>
      <c r="H103" s="1">
        <v>4232.6000000000004</v>
      </c>
      <c r="I103" s="1">
        <v>4189.8</v>
      </c>
      <c r="J103" s="15">
        <v>142</v>
      </c>
      <c r="K103" s="1">
        <v>11405405.07</v>
      </c>
      <c r="L103" s="1">
        <v>0</v>
      </c>
      <c r="M103" s="1">
        <v>0</v>
      </c>
      <c r="N103" s="1">
        <v>11405405.07</v>
      </c>
      <c r="O103" s="1">
        <v>0</v>
      </c>
      <c r="P103" s="1">
        <v>0</v>
      </c>
      <c r="Q103" s="1">
        <v>0</v>
      </c>
      <c r="R103" s="128">
        <v>2026</v>
      </c>
      <c r="S103" s="128">
        <v>2026</v>
      </c>
    </row>
    <row r="104" spans="1:19">
      <c r="A104" s="76">
        <v>71</v>
      </c>
      <c r="B104" s="9" t="s">
        <v>482</v>
      </c>
      <c r="C104" s="76">
        <v>1972</v>
      </c>
      <c r="D104" s="76" t="s">
        <v>77</v>
      </c>
      <c r="E104" s="76">
        <v>5</v>
      </c>
      <c r="F104" s="76">
        <v>6</v>
      </c>
      <c r="G104" s="1">
        <v>4881.8</v>
      </c>
      <c r="H104" s="1">
        <v>4463</v>
      </c>
      <c r="I104" s="1">
        <v>4463</v>
      </c>
      <c r="J104" s="15">
        <v>146</v>
      </c>
      <c r="K104" s="1">
        <v>10556057.15</v>
      </c>
      <c r="L104" s="1">
        <v>0</v>
      </c>
      <c r="M104" s="1">
        <v>0</v>
      </c>
      <c r="N104" s="1">
        <v>10556057.15</v>
      </c>
      <c r="O104" s="1">
        <v>0</v>
      </c>
      <c r="P104" s="1">
        <v>0</v>
      </c>
      <c r="Q104" s="1">
        <v>0</v>
      </c>
      <c r="R104" s="128">
        <v>2026</v>
      </c>
      <c r="S104" s="128">
        <v>2026</v>
      </c>
    </row>
    <row r="105" spans="1:19">
      <c r="A105" s="76">
        <v>72</v>
      </c>
      <c r="B105" s="9" t="s">
        <v>626</v>
      </c>
      <c r="C105" s="76">
        <v>1963</v>
      </c>
      <c r="D105" s="95" t="s">
        <v>75</v>
      </c>
      <c r="E105" s="76">
        <v>4</v>
      </c>
      <c r="F105" s="76">
        <v>4</v>
      </c>
      <c r="G105" s="1">
        <v>2766.2</v>
      </c>
      <c r="H105" s="1">
        <v>2569.4</v>
      </c>
      <c r="I105" s="1">
        <v>2569.4</v>
      </c>
      <c r="J105" s="15">
        <v>75</v>
      </c>
      <c r="K105" s="1">
        <v>8354526.5199999996</v>
      </c>
      <c r="L105" s="1">
        <v>0</v>
      </c>
      <c r="M105" s="1">
        <v>0</v>
      </c>
      <c r="N105" s="1">
        <v>8354526.5199999996</v>
      </c>
      <c r="O105" s="1">
        <v>0</v>
      </c>
      <c r="P105" s="1">
        <v>0</v>
      </c>
      <c r="Q105" s="1">
        <v>0</v>
      </c>
      <c r="R105" s="128">
        <v>2026</v>
      </c>
      <c r="S105" s="128">
        <v>2026</v>
      </c>
    </row>
    <row r="106" spans="1:19">
      <c r="A106" s="76">
        <v>73</v>
      </c>
      <c r="B106" s="9" t="s">
        <v>483</v>
      </c>
      <c r="C106" s="76">
        <v>1957</v>
      </c>
      <c r="D106" s="95" t="s">
        <v>75</v>
      </c>
      <c r="E106" s="76">
        <v>2</v>
      </c>
      <c r="F106" s="76">
        <v>1</v>
      </c>
      <c r="G106" s="1">
        <v>392</v>
      </c>
      <c r="H106" s="1">
        <v>247.7</v>
      </c>
      <c r="I106" s="1">
        <v>247.7</v>
      </c>
      <c r="J106" s="15">
        <v>9</v>
      </c>
      <c r="K106" s="1">
        <v>2377837.35</v>
      </c>
      <c r="L106" s="1">
        <v>0</v>
      </c>
      <c r="M106" s="1">
        <v>0</v>
      </c>
      <c r="N106" s="1">
        <v>2377837.35</v>
      </c>
      <c r="O106" s="1">
        <v>0</v>
      </c>
      <c r="P106" s="1">
        <v>0</v>
      </c>
      <c r="Q106" s="1">
        <v>0</v>
      </c>
      <c r="R106" s="128">
        <v>2026</v>
      </c>
      <c r="S106" s="128">
        <v>2026</v>
      </c>
    </row>
    <row r="107" spans="1:19">
      <c r="A107" s="76">
        <v>74</v>
      </c>
      <c r="B107" s="14" t="s">
        <v>484</v>
      </c>
      <c r="C107" s="76">
        <v>1989</v>
      </c>
      <c r="D107" s="95" t="s">
        <v>75</v>
      </c>
      <c r="E107" s="76">
        <v>5</v>
      </c>
      <c r="F107" s="76">
        <v>6</v>
      </c>
      <c r="G107" s="1">
        <v>4179.7</v>
      </c>
      <c r="H107" s="1">
        <v>2471.6999999999998</v>
      </c>
      <c r="I107" s="1">
        <v>2471.6999999999998</v>
      </c>
      <c r="J107" s="15">
        <v>152</v>
      </c>
      <c r="K107" s="1">
        <v>12002032.9</v>
      </c>
      <c r="L107" s="1">
        <v>0</v>
      </c>
      <c r="M107" s="1">
        <v>0</v>
      </c>
      <c r="N107" s="1">
        <v>12002032.9</v>
      </c>
      <c r="O107" s="1">
        <v>0</v>
      </c>
      <c r="P107" s="1">
        <v>0</v>
      </c>
      <c r="Q107" s="1">
        <v>0</v>
      </c>
      <c r="R107" s="128">
        <v>2026</v>
      </c>
      <c r="S107" s="128">
        <v>2026</v>
      </c>
    </row>
    <row r="108" spans="1:19">
      <c r="A108" s="76">
        <v>75</v>
      </c>
      <c r="B108" s="9" t="s">
        <v>234</v>
      </c>
      <c r="C108" s="76">
        <v>1969</v>
      </c>
      <c r="D108" s="76" t="s">
        <v>77</v>
      </c>
      <c r="E108" s="76">
        <v>5</v>
      </c>
      <c r="F108" s="76">
        <v>4</v>
      </c>
      <c r="G108" s="1">
        <v>3539.8</v>
      </c>
      <c r="H108" s="1">
        <v>2274</v>
      </c>
      <c r="I108" s="1">
        <v>2274</v>
      </c>
      <c r="J108" s="15">
        <v>240</v>
      </c>
      <c r="K108" s="1">
        <v>19136537.129999999</v>
      </c>
      <c r="L108" s="1">
        <v>0</v>
      </c>
      <c r="M108" s="1">
        <v>0</v>
      </c>
      <c r="N108" s="1">
        <v>19136537.129999999</v>
      </c>
      <c r="O108" s="1">
        <v>0</v>
      </c>
      <c r="P108" s="1">
        <v>0</v>
      </c>
      <c r="Q108" s="1">
        <v>0</v>
      </c>
      <c r="R108" s="128">
        <v>2026</v>
      </c>
      <c r="S108" s="128">
        <v>2026</v>
      </c>
    </row>
    <row r="109" spans="1:19">
      <c r="A109" s="76">
        <v>76</v>
      </c>
      <c r="B109" s="9" t="s">
        <v>235</v>
      </c>
      <c r="C109" s="76">
        <v>1965</v>
      </c>
      <c r="D109" s="76" t="s">
        <v>77</v>
      </c>
      <c r="E109" s="76">
        <v>5</v>
      </c>
      <c r="F109" s="76">
        <v>4</v>
      </c>
      <c r="G109" s="1">
        <v>3506</v>
      </c>
      <c r="H109" s="1">
        <v>2353.8000000000002</v>
      </c>
      <c r="I109" s="1">
        <v>2353.8000000000002</v>
      </c>
      <c r="J109" s="15">
        <v>240</v>
      </c>
      <c r="K109" s="1">
        <v>19613591.989999998</v>
      </c>
      <c r="L109" s="1">
        <v>0</v>
      </c>
      <c r="M109" s="1">
        <v>0</v>
      </c>
      <c r="N109" s="1">
        <v>19613591.989999998</v>
      </c>
      <c r="O109" s="1">
        <v>0</v>
      </c>
      <c r="P109" s="1">
        <v>0</v>
      </c>
      <c r="Q109" s="1">
        <v>0</v>
      </c>
      <c r="R109" s="128">
        <v>2026</v>
      </c>
      <c r="S109" s="128">
        <v>2026</v>
      </c>
    </row>
    <row r="110" spans="1:19">
      <c r="A110" s="76">
        <v>77</v>
      </c>
      <c r="B110" s="9" t="s">
        <v>236</v>
      </c>
      <c r="C110" s="76">
        <v>1964</v>
      </c>
      <c r="D110" s="76" t="s">
        <v>77</v>
      </c>
      <c r="E110" s="76">
        <v>5</v>
      </c>
      <c r="F110" s="76">
        <v>4</v>
      </c>
      <c r="G110" s="1">
        <v>3474</v>
      </c>
      <c r="H110" s="1">
        <v>3474</v>
      </c>
      <c r="I110" s="1">
        <v>3279</v>
      </c>
      <c r="J110" s="15">
        <v>167</v>
      </c>
      <c r="K110" s="1">
        <v>14872578.68</v>
      </c>
      <c r="L110" s="1">
        <v>0</v>
      </c>
      <c r="M110" s="1">
        <v>0</v>
      </c>
      <c r="N110" s="1">
        <v>14872578.68</v>
      </c>
      <c r="O110" s="1">
        <v>0</v>
      </c>
      <c r="P110" s="1">
        <v>0</v>
      </c>
      <c r="Q110" s="1">
        <v>0</v>
      </c>
      <c r="R110" s="128">
        <v>2026</v>
      </c>
      <c r="S110" s="128">
        <v>2026</v>
      </c>
    </row>
    <row r="111" spans="1:19">
      <c r="A111" s="76">
        <v>78</v>
      </c>
      <c r="B111" s="9" t="s">
        <v>237</v>
      </c>
      <c r="C111" s="76">
        <v>1985</v>
      </c>
      <c r="D111" s="76" t="s">
        <v>77</v>
      </c>
      <c r="E111" s="76">
        <v>3</v>
      </c>
      <c r="F111" s="76">
        <v>3</v>
      </c>
      <c r="G111" s="1">
        <v>1377.9</v>
      </c>
      <c r="H111" s="1">
        <v>819.6</v>
      </c>
      <c r="I111" s="1">
        <v>819.6</v>
      </c>
      <c r="J111" s="15">
        <v>46</v>
      </c>
      <c r="K111" s="1">
        <v>5566789.5</v>
      </c>
      <c r="L111" s="1">
        <v>0</v>
      </c>
      <c r="M111" s="1">
        <v>0</v>
      </c>
      <c r="N111" s="1">
        <v>5566789.5</v>
      </c>
      <c r="O111" s="1">
        <v>0</v>
      </c>
      <c r="P111" s="1">
        <v>0</v>
      </c>
      <c r="Q111" s="1">
        <v>0</v>
      </c>
      <c r="R111" s="128">
        <v>2026</v>
      </c>
      <c r="S111" s="128">
        <v>2026</v>
      </c>
    </row>
    <row r="112" spans="1:19">
      <c r="A112" s="76">
        <v>79</v>
      </c>
      <c r="B112" s="9" t="s">
        <v>238</v>
      </c>
      <c r="C112" s="76">
        <v>1968</v>
      </c>
      <c r="D112" s="76" t="s">
        <v>77</v>
      </c>
      <c r="E112" s="76">
        <v>5</v>
      </c>
      <c r="F112" s="76">
        <v>4</v>
      </c>
      <c r="G112" s="1">
        <v>3512.4</v>
      </c>
      <c r="H112" s="1">
        <v>3512.4</v>
      </c>
      <c r="I112" s="1">
        <v>3512.4</v>
      </c>
      <c r="J112" s="15">
        <v>123</v>
      </c>
      <c r="K112" s="1">
        <v>20952657.41</v>
      </c>
      <c r="L112" s="1">
        <v>0</v>
      </c>
      <c r="M112" s="1">
        <v>0</v>
      </c>
      <c r="N112" s="1">
        <v>20952657.41</v>
      </c>
      <c r="O112" s="1">
        <v>0</v>
      </c>
      <c r="P112" s="1">
        <v>0</v>
      </c>
      <c r="Q112" s="1">
        <v>0</v>
      </c>
      <c r="R112" s="128">
        <v>2026</v>
      </c>
      <c r="S112" s="128">
        <v>2026</v>
      </c>
    </row>
    <row r="113" spans="1:19">
      <c r="A113" s="76">
        <v>80</v>
      </c>
      <c r="B113" s="9" t="s">
        <v>485</v>
      </c>
      <c r="C113" s="76">
        <v>1968</v>
      </c>
      <c r="D113" s="76" t="s">
        <v>75</v>
      </c>
      <c r="E113" s="76">
        <v>5</v>
      </c>
      <c r="F113" s="76">
        <v>4</v>
      </c>
      <c r="G113" s="1">
        <v>2821.2</v>
      </c>
      <c r="H113" s="1">
        <v>2576.4</v>
      </c>
      <c r="I113" s="1">
        <v>2576.4</v>
      </c>
      <c r="J113" s="15">
        <v>65</v>
      </c>
      <c r="K113" s="1">
        <v>8858229.7799999993</v>
      </c>
      <c r="L113" s="1">
        <v>0</v>
      </c>
      <c r="M113" s="1">
        <v>0</v>
      </c>
      <c r="N113" s="1">
        <v>8858229.7799999993</v>
      </c>
      <c r="O113" s="1">
        <v>0</v>
      </c>
      <c r="P113" s="1">
        <v>0</v>
      </c>
      <c r="Q113" s="1">
        <v>0</v>
      </c>
      <c r="R113" s="128">
        <v>2026</v>
      </c>
      <c r="S113" s="128">
        <v>2026</v>
      </c>
    </row>
    <row r="114" spans="1:19">
      <c r="A114" s="76">
        <v>81</v>
      </c>
      <c r="B114" s="21" t="s">
        <v>240</v>
      </c>
      <c r="C114" s="76">
        <v>1964</v>
      </c>
      <c r="D114" s="76" t="s">
        <v>232</v>
      </c>
      <c r="E114" s="76">
        <v>5</v>
      </c>
      <c r="F114" s="76">
        <v>4</v>
      </c>
      <c r="G114" s="1">
        <v>3777.8</v>
      </c>
      <c r="H114" s="1">
        <v>3466.8</v>
      </c>
      <c r="I114" s="1">
        <v>3466.8</v>
      </c>
      <c r="J114" s="15">
        <v>126</v>
      </c>
      <c r="K114" s="1">
        <v>9205611.3399999999</v>
      </c>
      <c r="L114" s="1">
        <v>0</v>
      </c>
      <c r="M114" s="1">
        <v>0</v>
      </c>
      <c r="N114" s="1">
        <v>9205611.3399999999</v>
      </c>
      <c r="O114" s="1">
        <v>0</v>
      </c>
      <c r="P114" s="1">
        <v>0</v>
      </c>
      <c r="Q114" s="1">
        <v>0</v>
      </c>
      <c r="R114" s="128">
        <v>2026</v>
      </c>
      <c r="S114" s="128">
        <v>2026</v>
      </c>
    </row>
    <row r="115" spans="1:19">
      <c r="A115" s="76">
        <v>82</v>
      </c>
      <c r="B115" s="21" t="s">
        <v>241</v>
      </c>
      <c r="C115" s="76">
        <v>1971</v>
      </c>
      <c r="D115" s="95" t="s">
        <v>75</v>
      </c>
      <c r="E115" s="76">
        <v>9</v>
      </c>
      <c r="F115" s="76">
        <v>4</v>
      </c>
      <c r="G115" s="1">
        <v>8409.5</v>
      </c>
      <c r="H115" s="1">
        <v>6136.7</v>
      </c>
      <c r="I115" s="1">
        <v>6020.5</v>
      </c>
      <c r="J115" s="15">
        <v>258</v>
      </c>
      <c r="K115" s="1">
        <v>23447092.219999999</v>
      </c>
      <c r="L115" s="1">
        <v>0</v>
      </c>
      <c r="M115" s="1">
        <v>0</v>
      </c>
      <c r="N115" s="1">
        <v>23447092.219999999</v>
      </c>
      <c r="O115" s="1">
        <v>0</v>
      </c>
      <c r="P115" s="1">
        <v>0</v>
      </c>
      <c r="Q115" s="1">
        <v>0</v>
      </c>
      <c r="R115" s="128">
        <v>2026</v>
      </c>
      <c r="S115" s="128">
        <v>2026</v>
      </c>
    </row>
    <row r="116" spans="1:19">
      <c r="A116" s="76">
        <v>83</v>
      </c>
      <c r="B116" s="21" t="s">
        <v>242</v>
      </c>
      <c r="C116" s="76">
        <v>1996</v>
      </c>
      <c r="D116" s="76" t="s">
        <v>77</v>
      </c>
      <c r="E116" s="76">
        <v>9</v>
      </c>
      <c r="F116" s="76">
        <v>2</v>
      </c>
      <c r="G116" s="1">
        <v>3837.6</v>
      </c>
      <c r="H116" s="1">
        <v>2335</v>
      </c>
      <c r="I116" s="1">
        <v>2335</v>
      </c>
      <c r="J116" s="15">
        <v>170</v>
      </c>
      <c r="K116" s="1">
        <v>11723546.109999999</v>
      </c>
      <c r="L116" s="1">
        <v>0</v>
      </c>
      <c r="M116" s="1">
        <v>0</v>
      </c>
      <c r="N116" s="1">
        <v>11723546.109999999</v>
      </c>
      <c r="O116" s="1">
        <v>0</v>
      </c>
      <c r="P116" s="1">
        <v>0</v>
      </c>
      <c r="Q116" s="1">
        <v>0</v>
      </c>
      <c r="R116" s="128">
        <v>2026</v>
      </c>
      <c r="S116" s="128">
        <v>2026</v>
      </c>
    </row>
    <row r="117" spans="1:19">
      <c r="A117" s="76">
        <v>84</v>
      </c>
      <c r="B117" s="21" t="s">
        <v>243</v>
      </c>
      <c r="C117" s="76">
        <v>1972</v>
      </c>
      <c r="D117" s="76" t="s">
        <v>77</v>
      </c>
      <c r="E117" s="76">
        <v>9</v>
      </c>
      <c r="F117" s="76">
        <v>1</v>
      </c>
      <c r="G117" s="1">
        <v>3779.5</v>
      </c>
      <c r="H117" s="1">
        <v>2769.5</v>
      </c>
      <c r="I117" s="1">
        <v>2769.5</v>
      </c>
      <c r="J117" s="15">
        <v>189</v>
      </c>
      <c r="K117" s="1">
        <v>11723546.109999999</v>
      </c>
      <c r="L117" s="1">
        <v>0</v>
      </c>
      <c r="M117" s="1">
        <v>0</v>
      </c>
      <c r="N117" s="1">
        <v>11723546.109999999</v>
      </c>
      <c r="O117" s="1">
        <v>0</v>
      </c>
      <c r="P117" s="1">
        <v>0</v>
      </c>
      <c r="Q117" s="1">
        <v>0</v>
      </c>
      <c r="R117" s="128">
        <v>2026</v>
      </c>
      <c r="S117" s="128">
        <v>2026</v>
      </c>
    </row>
    <row r="118" spans="1:19" ht="36.75" customHeight="1">
      <c r="A118" s="158" t="s">
        <v>94</v>
      </c>
      <c r="B118" s="159"/>
      <c r="C118" s="159"/>
      <c r="D118" s="159"/>
      <c r="E118" s="159"/>
      <c r="F118" s="160"/>
      <c r="G118" s="1">
        <f>SUM(G119:G121)</f>
        <v>4142.2</v>
      </c>
      <c r="H118" s="1">
        <f t="shared" ref="H118:N118" si="27">SUM(H119:H121)</f>
        <v>3971.3</v>
      </c>
      <c r="I118" s="1">
        <f t="shared" si="27"/>
        <v>3971.3</v>
      </c>
      <c r="J118" s="15">
        <f t="shared" si="27"/>
        <v>140</v>
      </c>
      <c r="K118" s="1">
        <f t="shared" si="27"/>
        <v>16733306.42</v>
      </c>
      <c r="L118" s="3">
        <f>SUM(L119:L146)</f>
        <v>0</v>
      </c>
      <c r="M118" s="3">
        <f>SUM(M119:M146)</f>
        <v>0</v>
      </c>
      <c r="N118" s="63">
        <f t="shared" si="27"/>
        <v>16733306.42</v>
      </c>
      <c r="O118" s="3">
        <f>SUM(O119:O146)</f>
        <v>0</v>
      </c>
      <c r="P118" s="3">
        <f>SUM(P119:P146)</f>
        <v>0</v>
      </c>
      <c r="Q118" s="3">
        <f>SUM(Q119:Q146)</f>
        <v>0</v>
      </c>
      <c r="R118" s="63" t="s">
        <v>52</v>
      </c>
      <c r="S118" s="63" t="s">
        <v>52</v>
      </c>
    </row>
    <row r="119" spans="1:19">
      <c r="A119" s="76">
        <v>85</v>
      </c>
      <c r="B119" s="121" t="s">
        <v>95</v>
      </c>
      <c r="C119" s="95">
        <v>1962</v>
      </c>
      <c r="D119" s="95" t="s">
        <v>75</v>
      </c>
      <c r="E119" s="95">
        <v>2</v>
      </c>
      <c r="F119" s="95">
        <v>2</v>
      </c>
      <c r="G119" s="1">
        <v>369.5</v>
      </c>
      <c r="H119" s="1">
        <v>369.5</v>
      </c>
      <c r="I119" s="1">
        <v>369.5</v>
      </c>
      <c r="J119" s="15">
        <v>12</v>
      </c>
      <c r="K119" s="1">
        <f>L119+M119+N119+O119+P119+Q119</f>
        <v>5429894.29</v>
      </c>
      <c r="L119" s="3">
        <v>0</v>
      </c>
      <c r="M119" s="3">
        <v>0</v>
      </c>
      <c r="N119" s="1">
        <v>5429894.29</v>
      </c>
      <c r="O119" s="3">
        <v>0</v>
      </c>
      <c r="P119" s="3">
        <v>0</v>
      </c>
      <c r="Q119" s="3">
        <v>0</v>
      </c>
      <c r="R119" s="128">
        <v>2026</v>
      </c>
      <c r="S119" s="128">
        <v>2026</v>
      </c>
    </row>
    <row r="120" spans="1:19">
      <c r="A120" s="76">
        <v>86</v>
      </c>
      <c r="B120" s="121" t="s">
        <v>486</v>
      </c>
      <c r="C120" s="95">
        <v>2005</v>
      </c>
      <c r="D120" s="95" t="s">
        <v>75</v>
      </c>
      <c r="E120" s="95">
        <v>5</v>
      </c>
      <c r="F120" s="95">
        <v>4</v>
      </c>
      <c r="G120" s="1">
        <v>3415.8</v>
      </c>
      <c r="H120" s="1">
        <v>3277.9</v>
      </c>
      <c r="I120" s="1">
        <v>3277.9</v>
      </c>
      <c r="J120" s="15">
        <v>113</v>
      </c>
      <c r="K120" s="1">
        <f t="shared" ref="K120:K121" si="28">L120+M120+N120+O120+P120+Q120</f>
        <v>7655421.1299999999</v>
      </c>
      <c r="L120" s="3">
        <v>0</v>
      </c>
      <c r="M120" s="3">
        <v>0</v>
      </c>
      <c r="N120" s="1">
        <v>7655421.1299999999</v>
      </c>
      <c r="O120" s="3">
        <v>0</v>
      </c>
      <c r="P120" s="3">
        <v>0</v>
      </c>
      <c r="Q120" s="3">
        <v>0</v>
      </c>
      <c r="R120" s="128">
        <v>2026</v>
      </c>
      <c r="S120" s="128">
        <v>2026</v>
      </c>
    </row>
    <row r="121" spans="1:19">
      <c r="A121" s="76">
        <v>87</v>
      </c>
      <c r="B121" s="121" t="s">
        <v>96</v>
      </c>
      <c r="C121" s="95">
        <v>1968</v>
      </c>
      <c r="D121" s="95" t="s">
        <v>75</v>
      </c>
      <c r="E121" s="95">
        <v>2</v>
      </c>
      <c r="F121" s="95">
        <v>1</v>
      </c>
      <c r="G121" s="1">
        <v>356.9</v>
      </c>
      <c r="H121" s="1">
        <v>323.89999999999998</v>
      </c>
      <c r="I121" s="1">
        <v>323.89999999999998</v>
      </c>
      <c r="J121" s="15">
        <v>15</v>
      </c>
      <c r="K121" s="1">
        <f t="shared" si="28"/>
        <v>3647991</v>
      </c>
      <c r="L121" s="3">
        <v>0</v>
      </c>
      <c r="M121" s="3">
        <v>0</v>
      </c>
      <c r="N121" s="1">
        <v>3647991</v>
      </c>
      <c r="O121" s="3">
        <v>0</v>
      </c>
      <c r="P121" s="3">
        <v>0</v>
      </c>
      <c r="Q121" s="3">
        <v>0</v>
      </c>
      <c r="R121" s="128">
        <v>2026</v>
      </c>
      <c r="S121" s="128">
        <v>2026</v>
      </c>
    </row>
    <row r="122" spans="1:19" ht="32.25" customHeight="1">
      <c r="A122" s="158" t="s">
        <v>200</v>
      </c>
      <c r="B122" s="159"/>
      <c r="C122" s="159"/>
      <c r="D122" s="159"/>
      <c r="E122" s="159"/>
      <c r="F122" s="160"/>
      <c r="G122" s="3">
        <f>SUM(G123:G124)</f>
        <v>952.40000000000009</v>
      </c>
      <c r="H122" s="3">
        <f t="shared" ref="H122:Q122" si="29">SUM(H123:H124)</f>
        <v>868.9</v>
      </c>
      <c r="I122" s="3">
        <f t="shared" si="29"/>
        <v>868.9</v>
      </c>
      <c r="J122" s="15">
        <f t="shared" si="29"/>
        <v>32</v>
      </c>
      <c r="K122" s="1">
        <f t="shared" si="29"/>
        <v>12212351.4</v>
      </c>
      <c r="L122" s="3">
        <f t="shared" si="29"/>
        <v>0</v>
      </c>
      <c r="M122" s="3">
        <f t="shared" si="29"/>
        <v>0</v>
      </c>
      <c r="N122" s="63">
        <f t="shared" si="29"/>
        <v>12212351.4</v>
      </c>
      <c r="O122" s="3">
        <f t="shared" si="29"/>
        <v>0</v>
      </c>
      <c r="P122" s="3">
        <f t="shared" si="29"/>
        <v>0</v>
      </c>
      <c r="Q122" s="3">
        <f t="shared" si="29"/>
        <v>0</v>
      </c>
      <c r="R122" s="63" t="s">
        <v>52</v>
      </c>
      <c r="S122" s="63" t="s">
        <v>52</v>
      </c>
    </row>
    <row r="123" spans="1:19">
      <c r="A123" s="76">
        <v>88</v>
      </c>
      <c r="B123" s="121" t="s">
        <v>487</v>
      </c>
      <c r="C123" s="95">
        <v>1973</v>
      </c>
      <c r="D123" s="95" t="s">
        <v>75</v>
      </c>
      <c r="E123" s="95">
        <v>2</v>
      </c>
      <c r="F123" s="95">
        <v>2</v>
      </c>
      <c r="G123" s="1">
        <v>545.70000000000005</v>
      </c>
      <c r="H123" s="1">
        <v>497.5</v>
      </c>
      <c r="I123" s="1">
        <v>497.5</v>
      </c>
      <c r="J123" s="15">
        <v>19</v>
      </c>
      <c r="K123" s="1">
        <f>L123+M123+N123+O123+P123+Q123</f>
        <v>7093939.4100000001</v>
      </c>
      <c r="L123" s="3">
        <v>0</v>
      </c>
      <c r="M123" s="3">
        <v>0</v>
      </c>
      <c r="N123" s="1">
        <v>7093939.4100000001</v>
      </c>
      <c r="O123" s="3">
        <v>0</v>
      </c>
      <c r="P123" s="3">
        <v>0</v>
      </c>
      <c r="Q123" s="3">
        <v>0</v>
      </c>
      <c r="R123" s="128">
        <v>2026</v>
      </c>
      <c r="S123" s="128">
        <v>2026</v>
      </c>
    </row>
    <row r="124" spans="1:19">
      <c r="A124" s="76">
        <v>89</v>
      </c>
      <c r="B124" s="121" t="s">
        <v>488</v>
      </c>
      <c r="C124" s="95">
        <v>1970</v>
      </c>
      <c r="D124" s="95" t="s">
        <v>75</v>
      </c>
      <c r="E124" s="95">
        <v>2</v>
      </c>
      <c r="F124" s="95">
        <v>2</v>
      </c>
      <c r="G124" s="1">
        <v>406.7</v>
      </c>
      <c r="H124" s="1">
        <v>371.4</v>
      </c>
      <c r="I124" s="1">
        <v>371.4</v>
      </c>
      <c r="J124" s="15">
        <v>13</v>
      </c>
      <c r="K124" s="1">
        <f>L124+M124+N124+O124+P124+Q124</f>
        <v>5118411.99</v>
      </c>
      <c r="L124" s="3">
        <v>0</v>
      </c>
      <c r="M124" s="3">
        <v>0</v>
      </c>
      <c r="N124" s="1">
        <v>5118411.99</v>
      </c>
      <c r="O124" s="3">
        <v>0</v>
      </c>
      <c r="P124" s="3">
        <v>0</v>
      </c>
      <c r="Q124" s="3">
        <v>0</v>
      </c>
      <c r="R124" s="128">
        <v>2026</v>
      </c>
      <c r="S124" s="128">
        <v>2026</v>
      </c>
    </row>
    <row r="125" spans="1:19" ht="45.75" customHeight="1">
      <c r="A125" s="158" t="s">
        <v>128</v>
      </c>
      <c r="B125" s="159"/>
      <c r="C125" s="159"/>
      <c r="D125" s="159"/>
      <c r="E125" s="159"/>
      <c r="F125" s="160"/>
      <c r="G125" s="3">
        <f>G126</f>
        <v>619.70000000000005</v>
      </c>
      <c r="H125" s="3">
        <f t="shared" ref="H125:N125" si="30">H126</f>
        <v>619.70000000000005</v>
      </c>
      <c r="I125" s="3">
        <f t="shared" si="30"/>
        <v>563.70000000000005</v>
      </c>
      <c r="J125" s="15">
        <f t="shared" si="30"/>
        <v>19</v>
      </c>
      <c r="K125" s="1">
        <f t="shared" si="30"/>
        <v>3248017.59</v>
      </c>
      <c r="L125" s="3">
        <f>SUM(L126:L168)</f>
        <v>0</v>
      </c>
      <c r="M125" s="3">
        <f>SUM(M126:M168)</f>
        <v>0</v>
      </c>
      <c r="N125" s="1">
        <f t="shared" si="30"/>
        <v>3248017.59</v>
      </c>
      <c r="O125" s="3">
        <f>SUM(O126:O168)</f>
        <v>0</v>
      </c>
      <c r="P125" s="3">
        <f>SUM(P126:P168)</f>
        <v>0</v>
      </c>
      <c r="Q125" s="3">
        <f>SUM(Q126:Q168)</f>
        <v>0</v>
      </c>
      <c r="R125" s="63" t="s">
        <v>52</v>
      </c>
      <c r="S125" s="63" t="s">
        <v>52</v>
      </c>
    </row>
    <row r="126" spans="1:19" s="74" customFormat="1">
      <c r="A126" s="120">
        <v>90</v>
      </c>
      <c r="B126" s="121" t="s">
        <v>129</v>
      </c>
      <c r="C126" s="76">
        <v>1985</v>
      </c>
      <c r="D126" s="76" t="s">
        <v>75</v>
      </c>
      <c r="E126" s="76">
        <v>2</v>
      </c>
      <c r="F126" s="76">
        <v>2</v>
      </c>
      <c r="G126" s="1">
        <v>619.70000000000005</v>
      </c>
      <c r="H126" s="1">
        <v>619.70000000000005</v>
      </c>
      <c r="I126" s="1">
        <v>563.70000000000005</v>
      </c>
      <c r="J126" s="15">
        <v>19</v>
      </c>
      <c r="K126" s="1">
        <v>3248017.59</v>
      </c>
      <c r="L126" s="8">
        <v>0</v>
      </c>
      <c r="M126" s="3">
        <v>0</v>
      </c>
      <c r="N126" s="1">
        <v>3248017.59</v>
      </c>
      <c r="O126" s="8">
        <v>0</v>
      </c>
      <c r="P126" s="3">
        <v>0</v>
      </c>
      <c r="Q126" s="3">
        <v>0</v>
      </c>
      <c r="R126" s="15">
        <v>2026</v>
      </c>
      <c r="S126" s="15">
        <v>2026</v>
      </c>
    </row>
    <row r="127" spans="1:19" s="74" customFormat="1" ht="38.25" customHeight="1">
      <c r="A127" s="158" t="s">
        <v>280</v>
      </c>
      <c r="B127" s="159"/>
      <c r="C127" s="159"/>
      <c r="D127" s="159"/>
      <c r="E127" s="159"/>
      <c r="F127" s="160"/>
      <c r="G127" s="1">
        <f>SUM(G128:G133)</f>
        <v>9089.9</v>
      </c>
      <c r="H127" s="1">
        <f t="shared" ref="H127:N127" si="31">SUM(H128:H133)</f>
        <v>9089.9</v>
      </c>
      <c r="I127" s="1">
        <f t="shared" si="31"/>
        <v>8000.7</v>
      </c>
      <c r="J127" s="128">
        <f t="shared" si="31"/>
        <v>330</v>
      </c>
      <c r="K127" s="1">
        <f t="shared" si="31"/>
        <v>41279093.700000003</v>
      </c>
      <c r="L127" s="3">
        <f>SUM(L128:L169)</f>
        <v>0</v>
      </c>
      <c r="M127" s="3">
        <f>SUM(M128:M169)</f>
        <v>0</v>
      </c>
      <c r="N127" s="63">
        <f t="shared" si="31"/>
        <v>41279093.700000003</v>
      </c>
      <c r="O127" s="3">
        <f>SUM(O128:O169)</f>
        <v>0</v>
      </c>
      <c r="P127" s="3">
        <f>SUM(P128:P169)</f>
        <v>0</v>
      </c>
      <c r="Q127" s="3">
        <f>SUM(Q128:Q169)</f>
        <v>0</v>
      </c>
      <c r="R127" s="63" t="s">
        <v>52</v>
      </c>
      <c r="S127" s="63" t="s">
        <v>52</v>
      </c>
    </row>
    <row r="128" spans="1:19" s="74" customFormat="1">
      <c r="A128" s="76">
        <v>91</v>
      </c>
      <c r="B128" s="20" t="s">
        <v>678</v>
      </c>
      <c r="C128" s="76">
        <v>1994</v>
      </c>
      <c r="D128" s="76" t="s">
        <v>75</v>
      </c>
      <c r="E128" s="76">
        <v>5</v>
      </c>
      <c r="F128" s="76">
        <v>2</v>
      </c>
      <c r="G128" s="1">
        <v>1778</v>
      </c>
      <c r="H128" s="1">
        <v>1778</v>
      </c>
      <c r="I128" s="1">
        <v>1374.8</v>
      </c>
      <c r="J128" s="128">
        <v>50</v>
      </c>
      <c r="K128" s="1">
        <v>9174146.9800000004</v>
      </c>
      <c r="L128" s="8">
        <v>0</v>
      </c>
      <c r="M128" s="8">
        <v>0</v>
      </c>
      <c r="N128" s="1">
        <v>9174146.9800000004</v>
      </c>
      <c r="O128" s="8">
        <v>0</v>
      </c>
      <c r="P128" s="8">
        <v>0</v>
      </c>
      <c r="Q128" s="8">
        <v>0</v>
      </c>
      <c r="R128" s="133">
        <v>2026</v>
      </c>
      <c r="S128" s="133">
        <v>2026</v>
      </c>
    </row>
    <row r="129" spans="1:19" s="74" customFormat="1">
      <c r="A129" s="76">
        <v>92</v>
      </c>
      <c r="B129" s="20" t="s">
        <v>679</v>
      </c>
      <c r="C129" s="76">
        <v>1965</v>
      </c>
      <c r="D129" s="76" t="s">
        <v>75</v>
      </c>
      <c r="E129" s="76">
        <v>2</v>
      </c>
      <c r="F129" s="76">
        <v>1</v>
      </c>
      <c r="G129" s="1">
        <v>350.5</v>
      </c>
      <c r="H129" s="1">
        <v>350.5</v>
      </c>
      <c r="I129" s="1">
        <v>315.39999999999998</v>
      </c>
      <c r="J129" s="128">
        <v>11</v>
      </c>
      <c r="K129" s="1">
        <v>2637778.1</v>
      </c>
      <c r="L129" s="8">
        <v>0</v>
      </c>
      <c r="M129" s="8">
        <v>0</v>
      </c>
      <c r="N129" s="1">
        <v>2637778.1</v>
      </c>
      <c r="O129" s="8">
        <v>0</v>
      </c>
      <c r="P129" s="8">
        <v>0</v>
      </c>
      <c r="Q129" s="8">
        <v>0</v>
      </c>
      <c r="R129" s="133">
        <v>2026</v>
      </c>
      <c r="S129" s="133">
        <v>2026</v>
      </c>
    </row>
    <row r="130" spans="1:19" s="74" customFormat="1">
      <c r="A130" s="76">
        <v>93</v>
      </c>
      <c r="B130" s="71" t="s">
        <v>680</v>
      </c>
      <c r="C130" s="76">
        <v>1964</v>
      </c>
      <c r="D130" s="76" t="s">
        <v>75</v>
      </c>
      <c r="E130" s="76">
        <v>2</v>
      </c>
      <c r="F130" s="76">
        <v>1</v>
      </c>
      <c r="G130" s="1">
        <v>345.8</v>
      </c>
      <c r="H130" s="1">
        <v>345.8</v>
      </c>
      <c r="I130" s="1">
        <v>310.8</v>
      </c>
      <c r="J130" s="128">
        <v>11</v>
      </c>
      <c r="K130" s="1">
        <v>7440498.5599999996</v>
      </c>
      <c r="L130" s="8">
        <v>0</v>
      </c>
      <c r="M130" s="8">
        <v>0</v>
      </c>
      <c r="N130" s="1">
        <v>7440498.5599999996</v>
      </c>
      <c r="O130" s="8">
        <v>0</v>
      </c>
      <c r="P130" s="8">
        <v>0</v>
      </c>
      <c r="Q130" s="8">
        <v>0</v>
      </c>
      <c r="R130" s="133">
        <v>2026</v>
      </c>
      <c r="S130" s="133">
        <v>2026</v>
      </c>
    </row>
    <row r="131" spans="1:19" s="74" customFormat="1">
      <c r="A131" s="76">
        <v>94</v>
      </c>
      <c r="B131" s="20" t="s">
        <v>681</v>
      </c>
      <c r="C131" s="76">
        <v>1917</v>
      </c>
      <c r="D131" s="76" t="s">
        <v>75</v>
      </c>
      <c r="E131" s="76">
        <v>2</v>
      </c>
      <c r="F131" s="76">
        <v>2</v>
      </c>
      <c r="G131" s="1">
        <v>312.7</v>
      </c>
      <c r="H131" s="1">
        <v>312.7</v>
      </c>
      <c r="I131" s="1">
        <v>248.5</v>
      </c>
      <c r="J131" s="128">
        <v>16</v>
      </c>
      <c r="K131" s="1">
        <v>5584232.3700000001</v>
      </c>
      <c r="L131" s="8">
        <v>0</v>
      </c>
      <c r="M131" s="8">
        <v>0</v>
      </c>
      <c r="N131" s="1">
        <v>5584232.3700000001</v>
      </c>
      <c r="O131" s="8">
        <v>0</v>
      </c>
      <c r="P131" s="8">
        <v>0</v>
      </c>
      <c r="Q131" s="8">
        <v>0</v>
      </c>
      <c r="R131" s="133">
        <v>2026</v>
      </c>
      <c r="S131" s="133">
        <v>2026</v>
      </c>
    </row>
    <row r="132" spans="1:19" s="74" customFormat="1">
      <c r="A132" s="76">
        <v>95</v>
      </c>
      <c r="B132" s="20" t="s">
        <v>682</v>
      </c>
      <c r="C132" s="76">
        <v>1986</v>
      </c>
      <c r="D132" s="76" t="s">
        <v>75</v>
      </c>
      <c r="E132" s="76">
        <v>5</v>
      </c>
      <c r="F132" s="76">
        <v>6</v>
      </c>
      <c r="G132" s="1">
        <v>4934.8999999999996</v>
      </c>
      <c r="H132" s="1">
        <v>4934.8999999999996</v>
      </c>
      <c r="I132" s="1">
        <v>4499.8999999999996</v>
      </c>
      <c r="J132" s="128">
        <v>201</v>
      </c>
      <c r="K132" s="1">
        <v>10971178.120000001</v>
      </c>
      <c r="L132" s="8">
        <v>0</v>
      </c>
      <c r="M132" s="8">
        <v>0</v>
      </c>
      <c r="N132" s="1">
        <v>10971178.120000001</v>
      </c>
      <c r="O132" s="8">
        <v>0</v>
      </c>
      <c r="P132" s="8">
        <v>0</v>
      </c>
      <c r="Q132" s="8">
        <v>0</v>
      </c>
      <c r="R132" s="133">
        <v>2026</v>
      </c>
      <c r="S132" s="133">
        <v>2026</v>
      </c>
    </row>
    <row r="133" spans="1:19" s="74" customFormat="1">
      <c r="A133" s="76">
        <v>96</v>
      </c>
      <c r="B133" s="20" t="s">
        <v>683</v>
      </c>
      <c r="C133" s="76">
        <v>1984</v>
      </c>
      <c r="D133" s="76" t="s">
        <v>75</v>
      </c>
      <c r="E133" s="76">
        <v>3</v>
      </c>
      <c r="F133" s="76">
        <v>3</v>
      </c>
      <c r="G133" s="1">
        <v>1368</v>
      </c>
      <c r="H133" s="1">
        <v>1368</v>
      </c>
      <c r="I133" s="1">
        <v>1251.3</v>
      </c>
      <c r="J133" s="128">
        <v>41</v>
      </c>
      <c r="K133" s="1">
        <v>5471259.5700000003</v>
      </c>
      <c r="L133" s="8">
        <v>0</v>
      </c>
      <c r="M133" s="8">
        <v>0</v>
      </c>
      <c r="N133" s="1">
        <v>5471259.5700000003</v>
      </c>
      <c r="O133" s="8">
        <v>0</v>
      </c>
      <c r="P133" s="8">
        <v>0</v>
      </c>
      <c r="Q133" s="8">
        <v>0</v>
      </c>
      <c r="R133" s="133">
        <v>2026</v>
      </c>
      <c r="S133" s="133">
        <v>2026</v>
      </c>
    </row>
    <row r="134" spans="1:19" s="74" customFormat="1" ht="38.25" customHeight="1">
      <c r="A134" s="158" t="s">
        <v>326</v>
      </c>
      <c r="B134" s="159"/>
      <c r="C134" s="159"/>
      <c r="D134" s="159"/>
      <c r="E134" s="159"/>
      <c r="F134" s="160"/>
      <c r="G134" s="1">
        <f>SUM(G135:G145)</f>
        <v>10889.57</v>
      </c>
      <c r="H134" s="1">
        <f t="shared" ref="H134:Q134" si="32">SUM(H135:H145)</f>
        <v>8644.3700000000008</v>
      </c>
      <c r="I134" s="1">
        <f t="shared" si="32"/>
        <v>19487.77</v>
      </c>
      <c r="J134" s="128">
        <f t="shared" si="32"/>
        <v>401</v>
      </c>
      <c r="K134" s="1">
        <f t="shared" si="32"/>
        <v>63589890.280000001</v>
      </c>
      <c r="L134" s="3">
        <f t="shared" si="32"/>
        <v>0</v>
      </c>
      <c r="M134" s="3">
        <f t="shared" si="32"/>
        <v>0</v>
      </c>
      <c r="N134" s="1">
        <f t="shared" si="32"/>
        <v>63589890.280000001</v>
      </c>
      <c r="O134" s="3">
        <f t="shared" si="32"/>
        <v>0</v>
      </c>
      <c r="P134" s="3">
        <f t="shared" si="32"/>
        <v>0</v>
      </c>
      <c r="Q134" s="3">
        <f t="shared" si="32"/>
        <v>0</v>
      </c>
      <c r="R134" s="63" t="s">
        <v>52</v>
      </c>
      <c r="S134" s="63" t="s">
        <v>52</v>
      </c>
    </row>
    <row r="135" spans="1:19" s="74" customFormat="1">
      <c r="A135" s="76">
        <v>97</v>
      </c>
      <c r="B135" s="71" t="s">
        <v>686</v>
      </c>
      <c r="C135" s="64">
        <v>1984</v>
      </c>
      <c r="D135" s="64" t="s">
        <v>77</v>
      </c>
      <c r="E135" s="64">
        <v>5</v>
      </c>
      <c r="F135" s="64">
        <v>3</v>
      </c>
      <c r="G135" s="1">
        <v>3645.2</v>
      </c>
      <c r="H135" s="1">
        <v>2082.3000000000002</v>
      </c>
      <c r="I135" s="1">
        <v>2082.3000000000002</v>
      </c>
      <c r="J135" s="133">
        <v>95</v>
      </c>
      <c r="K135" s="8">
        <v>5010979</v>
      </c>
      <c r="L135" s="8">
        <v>0</v>
      </c>
      <c r="M135" s="8">
        <v>0</v>
      </c>
      <c r="N135" s="8">
        <v>5010979</v>
      </c>
      <c r="O135" s="8">
        <v>0</v>
      </c>
      <c r="P135" s="8">
        <v>0</v>
      </c>
      <c r="Q135" s="8">
        <v>0</v>
      </c>
      <c r="R135" s="133">
        <v>2026</v>
      </c>
      <c r="S135" s="133">
        <v>2026</v>
      </c>
    </row>
    <row r="136" spans="1:19" s="74" customFormat="1">
      <c r="A136" s="76">
        <v>98</v>
      </c>
      <c r="B136" s="71" t="s">
        <v>684</v>
      </c>
      <c r="C136" s="64">
        <v>1959</v>
      </c>
      <c r="D136" s="76" t="s">
        <v>75</v>
      </c>
      <c r="E136" s="64">
        <v>2</v>
      </c>
      <c r="F136" s="64">
        <v>2</v>
      </c>
      <c r="G136" s="3">
        <v>577.97</v>
      </c>
      <c r="H136" s="3">
        <v>577.97</v>
      </c>
      <c r="I136" s="3">
        <v>387.37</v>
      </c>
      <c r="J136" s="133">
        <v>27</v>
      </c>
      <c r="K136" s="8">
        <v>7876854.4099999992</v>
      </c>
      <c r="L136" s="8">
        <v>0</v>
      </c>
      <c r="M136" s="8">
        <v>0</v>
      </c>
      <c r="N136" s="8">
        <v>7876854.4099999992</v>
      </c>
      <c r="O136" s="8">
        <v>0</v>
      </c>
      <c r="P136" s="8">
        <v>0</v>
      </c>
      <c r="Q136" s="8">
        <v>0</v>
      </c>
      <c r="R136" s="133">
        <v>2026</v>
      </c>
      <c r="S136" s="133">
        <v>2026</v>
      </c>
    </row>
    <row r="137" spans="1:19" s="74" customFormat="1">
      <c r="A137" s="76">
        <v>99</v>
      </c>
      <c r="B137" s="71" t="s">
        <v>687</v>
      </c>
      <c r="C137" s="64">
        <v>1971</v>
      </c>
      <c r="D137" s="76" t="s">
        <v>75</v>
      </c>
      <c r="E137" s="64">
        <v>5</v>
      </c>
      <c r="F137" s="64">
        <v>2</v>
      </c>
      <c r="G137" s="1">
        <v>1339.4</v>
      </c>
      <c r="H137" s="1">
        <v>1243</v>
      </c>
      <c r="I137" s="1">
        <v>12430</v>
      </c>
      <c r="J137" s="133">
        <v>65</v>
      </c>
      <c r="K137" s="8">
        <v>4342269.5</v>
      </c>
      <c r="L137" s="8">
        <v>0</v>
      </c>
      <c r="M137" s="8">
        <v>0</v>
      </c>
      <c r="N137" s="8">
        <v>4342269.5</v>
      </c>
      <c r="O137" s="8">
        <v>0</v>
      </c>
      <c r="P137" s="8">
        <v>0</v>
      </c>
      <c r="Q137" s="8">
        <v>0</v>
      </c>
      <c r="R137" s="133">
        <v>2026</v>
      </c>
      <c r="S137" s="133">
        <v>2026</v>
      </c>
    </row>
    <row r="138" spans="1:19" s="74" customFormat="1">
      <c r="A138" s="76">
        <v>100</v>
      </c>
      <c r="B138" s="71" t="s">
        <v>688</v>
      </c>
      <c r="C138" s="64">
        <v>1961</v>
      </c>
      <c r="D138" s="76" t="s">
        <v>75</v>
      </c>
      <c r="E138" s="64">
        <v>2</v>
      </c>
      <c r="F138" s="64">
        <v>2</v>
      </c>
      <c r="G138" s="3">
        <v>590.79999999999995</v>
      </c>
      <c r="H138" s="3">
        <v>544.20000000000005</v>
      </c>
      <c r="I138" s="3">
        <v>544.20000000000005</v>
      </c>
      <c r="J138" s="133">
        <v>25</v>
      </c>
      <c r="K138" s="8">
        <v>3557647.2</v>
      </c>
      <c r="L138" s="8">
        <v>0</v>
      </c>
      <c r="M138" s="8">
        <v>0</v>
      </c>
      <c r="N138" s="8">
        <v>3557647.2</v>
      </c>
      <c r="O138" s="8">
        <v>0</v>
      </c>
      <c r="P138" s="8">
        <v>0</v>
      </c>
      <c r="Q138" s="8">
        <v>0</v>
      </c>
      <c r="R138" s="133">
        <v>2026</v>
      </c>
      <c r="S138" s="133">
        <v>2026</v>
      </c>
    </row>
    <row r="139" spans="1:19" s="74" customFormat="1">
      <c r="A139" s="76">
        <v>101</v>
      </c>
      <c r="B139" s="71" t="s">
        <v>689</v>
      </c>
      <c r="C139" s="64">
        <v>1959</v>
      </c>
      <c r="D139" s="64" t="s">
        <v>231</v>
      </c>
      <c r="E139" s="64">
        <v>2</v>
      </c>
      <c r="F139" s="64">
        <v>2</v>
      </c>
      <c r="G139" s="3">
        <v>448.8</v>
      </c>
      <c r="H139" s="3">
        <v>393.1</v>
      </c>
      <c r="I139" s="3">
        <v>321.8</v>
      </c>
      <c r="J139" s="133">
        <v>21</v>
      </c>
      <c r="K139" s="8">
        <v>3928605.69</v>
      </c>
      <c r="L139" s="8">
        <v>0</v>
      </c>
      <c r="M139" s="8">
        <v>0</v>
      </c>
      <c r="N139" s="8">
        <v>3928605.69</v>
      </c>
      <c r="O139" s="8">
        <v>0</v>
      </c>
      <c r="P139" s="8">
        <v>0</v>
      </c>
      <c r="Q139" s="8">
        <v>0</v>
      </c>
      <c r="R139" s="133">
        <v>2026</v>
      </c>
      <c r="S139" s="133">
        <v>2026</v>
      </c>
    </row>
    <row r="140" spans="1:19" s="74" customFormat="1">
      <c r="A140" s="76">
        <v>102</v>
      </c>
      <c r="B140" s="71" t="s">
        <v>690</v>
      </c>
      <c r="C140" s="64">
        <v>1962</v>
      </c>
      <c r="D140" s="76" t="s">
        <v>75</v>
      </c>
      <c r="E140" s="64">
        <v>2</v>
      </c>
      <c r="F140" s="64">
        <v>2</v>
      </c>
      <c r="G140" s="3">
        <v>708.7</v>
      </c>
      <c r="H140" s="3">
        <v>635.5</v>
      </c>
      <c r="I140" s="3">
        <v>635.5</v>
      </c>
      <c r="J140" s="133">
        <v>33</v>
      </c>
      <c r="K140" s="8">
        <v>7576596.6799999997</v>
      </c>
      <c r="L140" s="8">
        <v>0</v>
      </c>
      <c r="M140" s="8">
        <v>0</v>
      </c>
      <c r="N140" s="8">
        <v>7576596.6799999997</v>
      </c>
      <c r="O140" s="8">
        <v>0</v>
      </c>
      <c r="P140" s="8">
        <v>0</v>
      </c>
      <c r="Q140" s="8">
        <v>0</v>
      </c>
      <c r="R140" s="133">
        <v>2026</v>
      </c>
      <c r="S140" s="133">
        <v>2026</v>
      </c>
    </row>
    <row r="141" spans="1:19" s="74" customFormat="1">
      <c r="A141" s="76">
        <v>103</v>
      </c>
      <c r="B141" s="71" t="s">
        <v>691</v>
      </c>
      <c r="C141" s="64">
        <v>1972</v>
      </c>
      <c r="D141" s="76" t="s">
        <v>75</v>
      </c>
      <c r="E141" s="64">
        <v>2</v>
      </c>
      <c r="F141" s="64">
        <v>2</v>
      </c>
      <c r="G141" s="3">
        <v>558.29999999999995</v>
      </c>
      <c r="H141" s="3">
        <v>533.1</v>
      </c>
      <c r="I141" s="3">
        <v>498.7</v>
      </c>
      <c r="J141" s="133">
        <v>33</v>
      </c>
      <c r="K141" s="8">
        <v>6762814.0800000001</v>
      </c>
      <c r="L141" s="8">
        <v>0</v>
      </c>
      <c r="M141" s="8">
        <v>0</v>
      </c>
      <c r="N141" s="8">
        <v>6762814.0800000001</v>
      </c>
      <c r="O141" s="8">
        <v>0</v>
      </c>
      <c r="P141" s="8">
        <v>0</v>
      </c>
      <c r="Q141" s="8">
        <v>0</v>
      </c>
      <c r="R141" s="133">
        <v>2026</v>
      </c>
      <c r="S141" s="133">
        <v>2026</v>
      </c>
    </row>
    <row r="142" spans="1:19" s="74" customFormat="1">
      <c r="A142" s="76">
        <v>104</v>
      </c>
      <c r="B142" s="71" t="s">
        <v>692</v>
      </c>
      <c r="C142" s="64">
        <v>1961</v>
      </c>
      <c r="D142" s="76" t="s">
        <v>75</v>
      </c>
      <c r="E142" s="64">
        <v>2</v>
      </c>
      <c r="F142" s="64">
        <v>2</v>
      </c>
      <c r="G142" s="3">
        <v>573.9</v>
      </c>
      <c r="H142" s="3">
        <v>529.70000000000005</v>
      </c>
      <c r="I142" s="3">
        <v>529.70000000000005</v>
      </c>
      <c r="J142" s="133">
        <v>25</v>
      </c>
      <c r="K142" s="8">
        <v>6804906.2800000003</v>
      </c>
      <c r="L142" s="8">
        <v>0</v>
      </c>
      <c r="M142" s="8">
        <v>0</v>
      </c>
      <c r="N142" s="8">
        <v>6804906.2800000003</v>
      </c>
      <c r="O142" s="8">
        <v>0</v>
      </c>
      <c r="P142" s="8">
        <v>0</v>
      </c>
      <c r="Q142" s="8">
        <v>0</v>
      </c>
      <c r="R142" s="133">
        <v>2026</v>
      </c>
      <c r="S142" s="133">
        <v>2026</v>
      </c>
    </row>
    <row r="143" spans="1:19" s="74" customFormat="1">
      <c r="A143" s="76">
        <v>105</v>
      </c>
      <c r="B143" s="71" t="s">
        <v>693</v>
      </c>
      <c r="C143" s="64">
        <v>1957</v>
      </c>
      <c r="D143" s="76" t="s">
        <v>75</v>
      </c>
      <c r="E143" s="64">
        <v>2</v>
      </c>
      <c r="F143" s="64">
        <v>2</v>
      </c>
      <c r="G143" s="3">
        <v>886</v>
      </c>
      <c r="H143" s="3">
        <v>756.4</v>
      </c>
      <c r="I143" s="3">
        <v>756.4</v>
      </c>
      <c r="J143" s="133">
        <v>29</v>
      </c>
      <c r="K143" s="8">
        <v>6680894.1500000004</v>
      </c>
      <c r="L143" s="8">
        <v>0</v>
      </c>
      <c r="M143" s="8">
        <v>0</v>
      </c>
      <c r="N143" s="8">
        <v>6680894.1500000004</v>
      </c>
      <c r="O143" s="8">
        <v>0</v>
      </c>
      <c r="P143" s="8">
        <v>0</v>
      </c>
      <c r="Q143" s="8">
        <v>0</v>
      </c>
      <c r="R143" s="133">
        <v>2026</v>
      </c>
      <c r="S143" s="133">
        <v>2026</v>
      </c>
    </row>
    <row r="144" spans="1:19" s="74" customFormat="1">
      <c r="A144" s="76">
        <v>106</v>
      </c>
      <c r="B144" s="71" t="s">
        <v>450</v>
      </c>
      <c r="C144" s="64">
        <v>1958</v>
      </c>
      <c r="D144" s="76" t="s">
        <v>75</v>
      </c>
      <c r="E144" s="64">
        <v>2</v>
      </c>
      <c r="F144" s="64">
        <v>1</v>
      </c>
      <c r="G144" s="3">
        <v>509.4</v>
      </c>
      <c r="H144" s="3">
        <v>375</v>
      </c>
      <c r="I144" s="3">
        <v>375</v>
      </c>
      <c r="J144" s="133">
        <v>12</v>
      </c>
      <c r="K144" s="8">
        <v>2881313.29</v>
      </c>
      <c r="L144" s="8">
        <v>0</v>
      </c>
      <c r="M144" s="8">
        <v>0</v>
      </c>
      <c r="N144" s="8">
        <v>2881313.29</v>
      </c>
      <c r="O144" s="8">
        <v>0</v>
      </c>
      <c r="P144" s="8">
        <v>0</v>
      </c>
      <c r="Q144" s="8">
        <v>0</v>
      </c>
      <c r="R144" s="133">
        <v>2026</v>
      </c>
      <c r="S144" s="133">
        <v>2026</v>
      </c>
    </row>
    <row r="145" spans="1:19" s="74" customFormat="1">
      <c r="A145" s="76">
        <v>107</v>
      </c>
      <c r="B145" s="71" t="s">
        <v>694</v>
      </c>
      <c r="C145" s="64">
        <v>1959</v>
      </c>
      <c r="D145" s="76" t="s">
        <v>75</v>
      </c>
      <c r="E145" s="64">
        <v>3</v>
      </c>
      <c r="F145" s="64">
        <v>2</v>
      </c>
      <c r="G145" s="1">
        <v>1051.0999999999999</v>
      </c>
      <c r="H145" s="3">
        <v>974.1</v>
      </c>
      <c r="I145" s="3">
        <v>926.8</v>
      </c>
      <c r="J145" s="133">
        <v>36</v>
      </c>
      <c r="K145" s="8">
        <v>8167010</v>
      </c>
      <c r="L145" s="8">
        <v>0</v>
      </c>
      <c r="M145" s="8">
        <v>0</v>
      </c>
      <c r="N145" s="8">
        <v>8167010</v>
      </c>
      <c r="O145" s="8">
        <v>0</v>
      </c>
      <c r="P145" s="8">
        <v>0</v>
      </c>
      <c r="Q145" s="8">
        <v>0</v>
      </c>
      <c r="R145" s="133">
        <v>2026</v>
      </c>
      <c r="S145" s="133">
        <v>2026</v>
      </c>
    </row>
    <row r="146" spans="1:19" ht="36.75" customHeight="1">
      <c r="A146" s="158" t="s">
        <v>141</v>
      </c>
      <c r="B146" s="159"/>
      <c r="C146" s="159"/>
      <c r="D146" s="159"/>
      <c r="E146" s="159"/>
      <c r="F146" s="160"/>
      <c r="G146" s="1">
        <f>G147</f>
        <v>574.29999999999995</v>
      </c>
      <c r="H146" s="2">
        <f t="shared" ref="H146:Q146" si="33">H147</f>
        <v>574.29999999999995</v>
      </c>
      <c r="I146" s="2">
        <f t="shared" si="33"/>
        <v>505</v>
      </c>
      <c r="J146" s="15">
        <f t="shared" si="33"/>
        <v>21</v>
      </c>
      <c r="K146" s="1">
        <f t="shared" si="33"/>
        <v>7278583.8799999999</v>
      </c>
      <c r="L146" s="3">
        <f t="shared" si="33"/>
        <v>0</v>
      </c>
      <c r="M146" s="3">
        <f t="shared" si="33"/>
        <v>0</v>
      </c>
      <c r="N146" s="63">
        <f t="shared" si="33"/>
        <v>7278583.8799999999</v>
      </c>
      <c r="O146" s="3">
        <f t="shared" si="33"/>
        <v>0</v>
      </c>
      <c r="P146" s="3">
        <f t="shared" si="33"/>
        <v>0</v>
      </c>
      <c r="Q146" s="3">
        <f t="shared" si="33"/>
        <v>0</v>
      </c>
      <c r="R146" s="63" t="s">
        <v>52</v>
      </c>
      <c r="S146" s="63" t="s">
        <v>52</v>
      </c>
    </row>
    <row r="147" spans="1:19">
      <c r="A147" s="76">
        <v>108</v>
      </c>
      <c r="B147" s="121" t="s">
        <v>543</v>
      </c>
      <c r="C147" s="95">
        <v>1971</v>
      </c>
      <c r="D147" s="95" t="s">
        <v>75</v>
      </c>
      <c r="E147" s="95">
        <v>2</v>
      </c>
      <c r="F147" s="95">
        <v>2</v>
      </c>
      <c r="G147" s="3">
        <v>574.29999999999995</v>
      </c>
      <c r="H147" s="3">
        <v>574.29999999999995</v>
      </c>
      <c r="I147" s="3">
        <v>505</v>
      </c>
      <c r="J147" s="15">
        <v>21</v>
      </c>
      <c r="K147" s="8">
        <v>7278583.8799999999</v>
      </c>
      <c r="L147" s="3">
        <v>0</v>
      </c>
      <c r="M147" s="3">
        <v>0</v>
      </c>
      <c r="N147" s="8">
        <v>7278583.8799999999</v>
      </c>
      <c r="O147" s="3">
        <v>0</v>
      </c>
      <c r="P147" s="3">
        <v>0</v>
      </c>
      <c r="Q147" s="3">
        <v>0</v>
      </c>
      <c r="R147" s="128">
        <v>2026</v>
      </c>
      <c r="S147" s="128">
        <v>2026</v>
      </c>
    </row>
    <row r="148" spans="1:19" ht="44.25" customHeight="1">
      <c r="A148" s="158" t="s">
        <v>318</v>
      </c>
      <c r="B148" s="159"/>
      <c r="C148" s="159"/>
      <c r="D148" s="159"/>
      <c r="E148" s="159"/>
      <c r="F148" s="160"/>
      <c r="G148" s="1">
        <f>SUM(G149:G152)</f>
        <v>4364.6000000000004</v>
      </c>
      <c r="H148" s="1">
        <f t="shared" ref="H148:Q148" si="34">SUM(H149:H152)</f>
        <v>4364.6000000000004</v>
      </c>
      <c r="I148" s="1">
        <f t="shared" si="34"/>
        <v>3693.4</v>
      </c>
      <c r="J148" s="13">
        <f t="shared" si="34"/>
        <v>159</v>
      </c>
      <c r="K148" s="1">
        <f t="shared" si="34"/>
        <v>29929705.830000002</v>
      </c>
      <c r="L148" s="3">
        <f t="shared" si="34"/>
        <v>0</v>
      </c>
      <c r="M148" s="3">
        <f t="shared" si="34"/>
        <v>0</v>
      </c>
      <c r="N148" s="63">
        <f t="shared" si="34"/>
        <v>29929705.830000002</v>
      </c>
      <c r="O148" s="3">
        <f t="shared" si="34"/>
        <v>0</v>
      </c>
      <c r="P148" s="3">
        <f t="shared" si="34"/>
        <v>0</v>
      </c>
      <c r="Q148" s="3">
        <f t="shared" si="34"/>
        <v>0</v>
      </c>
      <c r="R148" s="63" t="s">
        <v>52</v>
      </c>
      <c r="S148" s="63" t="s">
        <v>52</v>
      </c>
    </row>
    <row r="149" spans="1:19">
      <c r="A149" s="76">
        <v>109</v>
      </c>
      <c r="B149" s="6" t="s">
        <v>319</v>
      </c>
      <c r="C149" s="64">
        <v>1978</v>
      </c>
      <c r="D149" s="95" t="s">
        <v>77</v>
      </c>
      <c r="E149" s="64">
        <v>3</v>
      </c>
      <c r="F149" s="64">
        <v>3</v>
      </c>
      <c r="G149" s="1">
        <v>1508.5</v>
      </c>
      <c r="H149" s="1">
        <v>1508.5</v>
      </c>
      <c r="I149" s="1">
        <v>1366.7</v>
      </c>
      <c r="J149" s="133">
        <v>63</v>
      </c>
      <c r="K149" s="8">
        <v>5943090.5700000003</v>
      </c>
      <c r="L149" s="3">
        <v>0</v>
      </c>
      <c r="M149" s="3">
        <v>0</v>
      </c>
      <c r="N149" s="8">
        <v>5943090.5700000003</v>
      </c>
      <c r="O149" s="3">
        <v>0</v>
      </c>
      <c r="P149" s="3">
        <v>0</v>
      </c>
      <c r="Q149" s="3">
        <v>0</v>
      </c>
      <c r="R149" s="133">
        <v>2026</v>
      </c>
      <c r="S149" s="133">
        <v>2026</v>
      </c>
    </row>
    <row r="150" spans="1:19">
      <c r="A150" s="76">
        <v>110</v>
      </c>
      <c r="B150" s="121" t="s">
        <v>320</v>
      </c>
      <c r="C150" s="95">
        <v>1982</v>
      </c>
      <c r="D150" s="95" t="s">
        <v>77</v>
      </c>
      <c r="E150" s="95">
        <v>3</v>
      </c>
      <c r="F150" s="95">
        <v>3</v>
      </c>
      <c r="G150" s="1">
        <v>1508.3</v>
      </c>
      <c r="H150" s="1">
        <v>1508.3</v>
      </c>
      <c r="I150" s="1">
        <v>1366.7</v>
      </c>
      <c r="J150" s="133">
        <v>61</v>
      </c>
      <c r="K150" s="8">
        <v>5943090.5700000003</v>
      </c>
      <c r="L150" s="3">
        <v>0</v>
      </c>
      <c r="M150" s="3">
        <v>0</v>
      </c>
      <c r="N150" s="8">
        <v>5943090.5700000003</v>
      </c>
      <c r="O150" s="3">
        <v>0</v>
      </c>
      <c r="P150" s="3">
        <v>0</v>
      </c>
      <c r="Q150" s="3">
        <v>0</v>
      </c>
      <c r="R150" s="133">
        <v>2026</v>
      </c>
      <c r="S150" s="133">
        <v>2026</v>
      </c>
    </row>
    <row r="151" spans="1:19">
      <c r="A151" s="76">
        <v>111</v>
      </c>
      <c r="B151" s="121" t="s">
        <v>695</v>
      </c>
      <c r="C151" s="95">
        <v>1961</v>
      </c>
      <c r="D151" s="95" t="s">
        <v>75</v>
      </c>
      <c r="E151" s="95">
        <v>2</v>
      </c>
      <c r="F151" s="95">
        <v>1</v>
      </c>
      <c r="G151" s="3">
        <v>335.2</v>
      </c>
      <c r="H151" s="3">
        <v>335.2</v>
      </c>
      <c r="I151" s="3" t="s">
        <v>321</v>
      </c>
      <c r="J151" s="133">
        <v>14</v>
      </c>
      <c r="K151" s="8">
        <v>4279374.05</v>
      </c>
      <c r="L151" s="3">
        <v>0</v>
      </c>
      <c r="M151" s="3">
        <v>0</v>
      </c>
      <c r="N151" s="8">
        <v>4279374.05</v>
      </c>
      <c r="O151" s="3">
        <v>0</v>
      </c>
      <c r="P151" s="3">
        <v>0</v>
      </c>
      <c r="Q151" s="3">
        <v>0</v>
      </c>
      <c r="R151" s="133">
        <v>2026</v>
      </c>
      <c r="S151" s="133">
        <v>2026</v>
      </c>
    </row>
    <row r="152" spans="1:19">
      <c r="A152" s="76">
        <v>112</v>
      </c>
      <c r="B152" s="121" t="s">
        <v>696</v>
      </c>
      <c r="C152" s="95">
        <v>1963</v>
      </c>
      <c r="D152" s="95" t="s">
        <v>75</v>
      </c>
      <c r="E152" s="95">
        <v>2</v>
      </c>
      <c r="F152" s="95">
        <v>3</v>
      </c>
      <c r="G152" s="1">
        <v>1012.6</v>
      </c>
      <c r="H152" s="1">
        <v>1012.6</v>
      </c>
      <c r="I152" s="1">
        <v>960</v>
      </c>
      <c r="J152" s="133">
        <v>21</v>
      </c>
      <c r="K152" s="8">
        <v>13764150.640000001</v>
      </c>
      <c r="L152" s="3">
        <v>0</v>
      </c>
      <c r="M152" s="3">
        <v>0</v>
      </c>
      <c r="N152" s="8">
        <v>13764150.640000001</v>
      </c>
      <c r="O152" s="3">
        <v>0</v>
      </c>
      <c r="P152" s="3">
        <v>0</v>
      </c>
      <c r="Q152" s="3">
        <v>0</v>
      </c>
      <c r="R152" s="133">
        <v>2026</v>
      </c>
      <c r="S152" s="133">
        <v>2026</v>
      </c>
    </row>
    <row r="153" spans="1:19" s="74" customFormat="1" ht="48.75" customHeight="1">
      <c r="A153" s="158" t="s">
        <v>489</v>
      </c>
      <c r="B153" s="159"/>
      <c r="C153" s="159"/>
      <c r="D153" s="159"/>
      <c r="E153" s="159"/>
      <c r="F153" s="160"/>
      <c r="G153" s="37">
        <f>G154+G155</f>
        <v>2444.1999999999998</v>
      </c>
      <c r="H153" s="37">
        <f t="shared" ref="H153:Q153" si="35">H154+H155</f>
        <v>2444.1999999999998</v>
      </c>
      <c r="I153" s="37">
        <f t="shared" si="35"/>
        <v>1970</v>
      </c>
      <c r="J153" s="128">
        <f t="shared" si="35"/>
        <v>70</v>
      </c>
      <c r="K153" s="8">
        <f t="shared" si="35"/>
        <v>22419710.82</v>
      </c>
      <c r="L153" s="2">
        <f t="shared" si="35"/>
        <v>0</v>
      </c>
      <c r="M153" s="2">
        <f t="shared" si="35"/>
        <v>0</v>
      </c>
      <c r="N153" s="80">
        <f t="shared" si="35"/>
        <v>22419710.82</v>
      </c>
      <c r="O153" s="2">
        <f t="shared" si="35"/>
        <v>0</v>
      </c>
      <c r="P153" s="2">
        <f t="shared" si="35"/>
        <v>0</v>
      </c>
      <c r="Q153" s="2">
        <f t="shared" si="35"/>
        <v>0</v>
      </c>
      <c r="R153" s="8" t="s">
        <v>52</v>
      </c>
      <c r="S153" s="8" t="s">
        <v>52</v>
      </c>
    </row>
    <row r="154" spans="1:19" s="74" customFormat="1">
      <c r="A154" s="76">
        <v>113</v>
      </c>
      <c r="B154" s="121" t="s">
        <v>103</v>
      </c>
      <c r="C154" s="76">
        <v>1994</v>
      </c>
      <c r="D154" s="76" t="s">
        <v>75</v>
      </c>
      <c r="E154" s="76">
        <v>2</v>
      </c>
      <c r="F154" s="76">
        <v>1</v>
      </c>
      <c r="G154" s="2">
        <v>658.9</v>
      </c>
      <c r="H154" s="3">
        <v>658.9</v>
      </c>
      <c r="I154" s="3">
        <v>544.9</v>
      </c>
      <c r="J154" s="128">
        <v>18</v>
      </c>
      <c r="K154" s="8">
        <v>7015367.2999999998</v>
      </c>
      <c r="L154" s="2">
        <v>0</v>
      </c>
      <c r="M154" s="2">
        <v>0</v>
      </c>
      <c r="N154" s="8">
        <v>7015367.2999999998</v>
      </c>
      <c r="O154" s="2">
        <v>0</v>
      </c>
      <c r="P154" s="2">
        <v>0</v>
      </c>
      <c r="Q154" s="2">
        <v>0</v>
      </c>
      <c r="R154" s="128">
        <v>2026</v>
      </c>
      <c r="S154" s="128">
        <v>2026</v>
      </c>
    </row>
    <row r="155" spans="1:19">
      <c r="A155" s="76">
        <v>114</v>
      </c>
      <c r="B155" s="121" t="s">
        <v>279</v>
      </c>
      <c r="C155" s="95">
        <v>1960</v>
      </c>
      <c r="D155" s="76" t="s">
        <v>75</v>
      </c>
      <c r="E155" s="95">
        <v>3</v>
      </c>
      <c r="F155" s="95">
        <v>3</v>
      </c>
      <c r="G155" s="8">
        <v>1785.3</v>
      </c>
      <c r="H155" s="8">
        <v>1785.3</v>
      </c>
      <c r="I155" s="8">
        <v>1425.1</v>
      </c>
      <c r="J155" s="133">
        <v>52</v>
      </c>
      <c r="K155" s="8">
        <f>L155+M155+N155+O155+P155+Q155</f>
        <v>15404343.52</v>
      </c>
      <c r="L155" s="2">
        <v>0</v>
      </c>
      <c r="M155" s="2">
        <v>0</v>
      </c>
      <c r="N155" s="8">
        <v>15404343.52</v>
      </c>
      <c r="O155" s="2">
        <v>0</v>
      </c>
      <c r="P155" s="2">
        <v>0</v>
      </c>
      <c r="Q155" s="2">
        <v>0</v>
      </c>
      <c r="R155" s="128">
        <v>2026</v>
      </c>
      <c r="S155" s="128">
        <v>2026</v>
      </c>
    </row>
    <row r="156" spans="1:19" ht="36.75" customHeight="1">
      <c r="A156" s="158" t="s">
        <v>472</v>
      </c>
      <c r="B156" s="159"/>
      <c r="C156" s="159"/>
      <c r="D156" s="159"/>
      <c r="E156" s="159"/>
      <c r="F156" s="160"/>
      <c r="G156" s="1">
        <f>SUM(G157:G159)</f>
        <v>3815.8</v>
      </c>
      <c r="H156" s="1">
        <f t="shared" ref="H156:N156" si="36">SUM(H157:H159)</f>
        <v>3815.8</v>
      </c>
      <c r="I156" s="1">
        <f t="shared" si="36"/>
        <v>2504.4</v>
      </c>
      <c r="J156" s="15">
        <f t="shared" si="36"/>
        <v>118</v>
      </c>
      <c r="K156" s="1">
        <f>L156+M156+N156+O156+P156+Q156</f>
        <v>24559839.18</v>
      </c>
      <c r="L156" s="3">
        <f>SUM(L157:L169)</f>
        <v>0</v>
      </c>
      <c r="M156" s="3">
        <f>SUM(M157:M169)</f>
        <v>0</v>
      </c>
      <c r="N156" s="63">
        <f t="shared" si="36"/>
        <v>24559839.18</v>
      </c>
      <c r="O156" s="3">
        <f>SUM(O157:O169)</f>
        <v>0</v>
      </c>
      <c r="P156" s="3">
        <f>SUM(P157:P169)</f>
        <v>0</v>
      </c>
      <c r="Q156" s="3">
        <f>SUM(Q157:Q169)</f>
        <v>0</v>
      </c>
      <c r="R156" s="63" t="s">
        <v>52</v>
      </c>
      <c r="S156" s="63" t="s">
        <v>52</v>
      </c>
    </row>
    <row r="157" spans="1:19">
      <c r="A157" s="76">
        <v>115</v>
      </c>
      <c r="B157" s="121" t="s">
        <v>126</v>
      </c>
      <c r="C157" s="95">
        <v>1970</v>
      </c>
      <c r="D157" s="76" t="s">
        <v>232</v>
      </c>
      <c r="E157" s="95">
        <v>5</v>
      </c>
      <c r="F157" s="95">
        <v>4</v>
      </c>
      <c r="G157" s="1">
        <v>2694</v>
      </c>
      <c r="H157" s="1">
        <v>2694</v>
      </c>
      <c r="I157" s="1">
        <v>1865.5</v>
      </c>
      <c r="J157" s="15">
        <v>94</v>
      </c>
      <c r="K157" s="8">
        <v>9186363.2799999993</v>
      </c>
      <c r="L157" s="3">
        <v>0</v>
      </c>
      <c r="M157" s="3">
        <v>0</v>
      </c>
      <c r="N157" s="8">
        <v>9186363.2799999993</v>
      </c>
      <c r="O157" s="3">
        <v>0</v>
      </c>
      <c r="P157" s="3">
        <v>0</v>
      </c>
      <c r="Q157" s="3">
        <v>0</v>
      </c>
      <c r="R157" s="128">
        <v>2026</v>
      </c>
      <c r="S157" s="128">
        <v>2026</v>
      </c>
    </row>
    <row r="158" spans="1:19">
      <c r="A158" s="76">
        <v>116</v>
      </c>
      <c r="B158" s="121" t="s">
        <v>127</v>
      </c>
      <c r="C158" s="95">
        <v>1982</v>
      </c>
      <c r="D158" s="95" t="s">
        <v>75</v>
      </c>
      <c r="E158" s="95">
        <v>2</v>
      </c>
      <c r="F158" s="95">
        <v>2</v>
      </c>
      <c r="G158" s="1">
        <v>553.79999999999995</v>
      </c>
      <c r="H158" s="3">
        <v>553.79999999999995</v>
      </c>
      <c r="I158" s="3">
        <v>308.89999999999998</v>
      </c>
      <c r="J158" s="15">
        <v>12</v>
      </c>
      <c r="K158" s="8">
        <f>SUM(L158:Q158)</f>
        <v>7702873.2999999998</v>
      </c>
      <c r="L158" s="3">
        <v>0</v>
      </c>
      <c r="M158" s="3">
        <v>0</v>
      </c>
      <c r="N158" s="8">
        <v>7702873.2999999998</v>
      </c>
      <c r="O158" s="3">
        <v>0</v>
      </c>
      <c r="P158" s="3">
        <v>0</v>
      </c>
      <c r="Q158" s="3">
        <v>0</v>
      </c>
      <c r="R158" s="128">
        <v>2026</v>
      </c>
      <c r="S158" s="128">
        <v>2026</v>
      </c>
    </row>
    <row r="159" spans="1:19">
      <c r="A159" s="76">
        <v>117</v>
      </c>
      <c r="B159" s="121" t="s">
        <v>125</v>
      </c>
      <c r="C159" s="95">
        <v>1983</v>
      </c>
      <c r="D159" s="76" t="s">
        <v>232</v>
      </c>
      <c r="E159" s="95">
        <v>2</v>
      </c>
      <c r="F159" s="95">
        <v>2</v>
      </c>
      <c r="G159" s="1">
        <v>568</v>
      </c>
      <c r="H159" s="3">
        <v>568</v>
      </c>
      <c r="I159" s="3">
        <v>330</v>
      </c>
      <c r="J159" s="15">
        <v>12</v>
      </c>
      <c r="K159" s="8">
        <v>7670602.5999999996</v>
      </c>
      <c r="L159" s="3">
        <v>0</v>
      </c>
      <c r="M159" s="3">
        <v>0</v>
      </c>
      <c r="N159" s="8">
        <v>7670602.5999999996</v>
      </c>
      <c r="O159" s="3">
        <v>0</v>
      </c>
      <c r="P159" s="3">
        <v>0</v>
      </c>
      <c r="Q159" s="3">
        <v>0</v>
      </c>
      <c r="R159" s="128">
        <v>2026</v>
      </c>
      <c r="S159" s="128">
        <v>2026</v>
      </c>
    </row>
    <row r="160" spans="1:19" ht="42.75" customHeight="1">
      <c r="A160" s="158" t="s">
        <v>333</v>
      </c>
      <c r="B160" s="159"/>
      <c r="C160" s="159"/>
      <c r="D160" s="159"/>
      <c r="E160" s="159"/>
      <c r="F160" s="160"/>
      <c r="G160" s="1">
        <f>SUM(G161:G167)</f>
        <v>21204.199999999997</v>
      </c>
      <c r="H160" s="1">
        <f t="shared" ref="H160:Q160" si="37">SUM(H161:H167)</f>
        <v>19181.8</v>
      </c>
      <c r="I160" s="1">
        <f t="shared" si="37"/>
        <v>17180.5</v>
      </c>
      <c r="J160" s="15">
        <f t="shared" si="37"/>
        <v>915</v>
      </c>
      <c r="K160" s="1">
        <f t="shared" si="37"/>
        <v>61628586.450000003</v>
      </c>
      <c r="L160" s="1">
        <f t="shared" si="37"/>
        <v>0</v>
      </c>
      <c r="M160" s="1">
        <f t="shared" si="37"/>
        <v>0</v>
      </c>
      <c r="N160" s="1">
        <f t="shared" si="37"/>
        <v>61628586.450000003</v>
      </c>
      <c r="O160" s="1">
        <f t="shared" si="37"/>
        <v>0</v>
      </c>
      <c r="P160" s="1">
        <f t="shared" si="37"/>
        <v>0</v>
      </c>
      <c r="Q160" s="1">
        <f t="shared" si="37"/>
        <v>0</v>
      </c>
      <c r="R160" s="63" t="s">
        <v>52</v>
      </c>
      <c r="S160" s="63" t="s">
        <v>52</v>
      </c>
    </row>
    <row r="161" spans="1:19">
      <c r="A161" s="76">
        <v>118</v>
      </c>
      <c r="B161" s="71" t="s">
        <v>574</v>
      </c>
      <c r="C161" s="64">
        <v>1982</v>
      </c>
      <c r="D161" s="95" t="s">
        <v>77</v>
      </c>
      <c r="E161" s="95">
        <v>5</v>
      </c>
      <c r="F161" s="95">
        <v>1</v>
      </c>
      <c r="G161" s="1">
        <v>2301.9</v>
      </c>
      <c r="H161" s="1">
        <v>1930.4</v>
      </c>
      <c r="I161" s="1">
        <v>1246.8</v>
      </c>
      <c r="J161" s="128">
        <v>152</v>
      </c>
      <c r="K161" s="8">
        <v>4744363.66</v>
      </c>
      <c r="L161" s="3">
        <v>0</v>
      </c>
      <c r="M161" s="3">
        <v>0</v>
      </c>
      <c r="N161" s="8">
        <v>4744363.66</v>
      </c>
      <c r="O161" s="3">
        <v>0</v>
      </c>
      <c r="P161" s="3">
        <v>0</v>
      </c>
      <c r="Q161" s="3">
        <v>0</v>
      </c>
      <c r="R161" s="133">
        <v>2026</v>
      </c>
      <c r="S161" s="133">
        <v>2026</v>
      </c>
    </row>
    <row r="162" spans="1:19">
      <c r="A162" s="76">
        <v>119</v>
      </c>
      <c r="B162" s="71" t="s">
        <v>490</v>
      </c>
      <c r="C162" s="64">
        <v>1965</v>
      </c>
      <c r="D162" s="95" t="s">
        <v>75</v>
      </c>
      <c r="E162" s="95">
        <v>2</v>
      </c>
      <c r="F162" s="95">
        <v>2</v>
      </c>
      <c r="G162" s="1">
        <v>391.4</v>
      </c>
      <c r="H162" s="1">
        <v>391.4</v>
      </c>
      <c r="I162" s="1">
        <v>237.5</v>
      </c>
      <c r="J162" s="128">
        <v>20</v>
      </c>
      <c r="K162" s="8">
        <v>5612293.8399999999</v>
      </c>
      <c r="L162" s="3">
        <v>0</v>
      </c>
      <c r="M162" s="3">
        <v>0</v>
      </c>
      <c r="N162" s="8">
        <v>5612293.8399999999</v>
      </c>
      <c r="O162" s="3">
        <v>0</v>
      </c>
      <c r="P162" s="3">
        <v>0</v>
      </c>
      <c r="Q162" s="3">
        <v>0</v>
      </c>
      <c r="R162" s="133">
        <v>2026</v>
      </c>
      <c r="S162" s="133">
        <v>2026</v>
      </c>
    </row>
    <row r="163" spans="1:19">
      <c r="A163" s="76">
        <v>120</v>
      </c>
      <c r="B163" s="71" t="s">
        <v>491</v>
      </c>
      <c r="C163" s="64">
        <v>1990</v>
      </c>
      <c r="D163" s="95" t="s">
        <v>75</v>
      </c>
      <c r="E163" s="95">
        <v>2</v>
      </c>
      <c r="F163" s="95">
        <v>3</v>
      </c>
      <c r="G163" s="1">
        <v>859.7</v>
      </c>
      <c r="H163" s="1">
        <v>492</v>
      </c>
      <c r="I163" s="1">
        <v>492</v>
      </c>
      <c r="J163" s="128">
        <v>31</v>
      </c>
      <c r="K163" s="8">
        <v>10239517.549999999</v>
      </c>
      <c r="L163" s="3">
        <v>0</v>
      </c>
      <c r="M163" s="3">
        <v>0</v>
      </c>
      <c r="N163" s="8">
        <v>10239517.549999999</v>
      </c>
      <c r="O163" s="3">
        <v>0</v>
      </c>
      <c r="P163" s="3">
        <v>0</v>
      </c>
      <c r="Q163" s="3">
        <v>0</v>
      </c>
      <c r="R163" s="133">
        <v>2026</v>
      </c>
      <c r="S163" s="133">
        <v>2026</v>
      </c>
    </row>
    <row r="164" spans="1:19">
      <c r="A164" s="76">
        <v>121</v>
      </c>
      <c r="B164" s="71" t="s">
        <v>575</v>
      </c>
      <c r="C164" s="85">
        <v>1982</v>
      </c>
      <c r="D164" s="95" t="s">
        <v>77</v>
      </c>
      <c r="E164" s="61">
        <v>9</v>
      </c>
      <c r="F164" s="61">
        <v>2</v>
      </c>
      <c r="G164" s="1">
        <v>5091.8999999999996</v>
      </c>
      <c r="H164" s="1">
        <v>5091.8999999999996</v>
      </c>
      <c r="I164" s="1">
        <v>4247.2</v>
      </c>
      <c r="J164" s="132">
        <v>195</v>
      </c>
      <c r="K164" s="8">
        <v>11723546.109999999</v>
      </c>
      <c r="L164" s="3">
        <v>0</v>
      </c>
      <c r="M164" s="3">
        <v>0</v>
      </c>
      <c r="N164" s="8">
        <v>11723546.109999999</v>
      </c>
      <c r="O164" s="3">
        <v>0</v>
      </c>
      <c r="P164" s="3">
        <v>0</v>
      </c>
      <c r="Q164" s="3">
        <v>0</v>
      </c>
      <c r="R164" s="133">
        <v>2026</v>
      </c>
      <c r="S164" s="61">
        <v>2026</v>
      </c>
    </row>
    <row r="165" spans="1:19">
      <c r="A165" s="76">
        <v>122</v>
      </c>
      <c r="B165" s="71" t="s">
        <v>444</v>
      </c>
      <c r="C165" s="85">
        <v>1984</v>
      </c>
      <c r="D165" s="95" t="s">
        <v>77</v>
      </c>
      <c r="E165" s="61">
        <v>9</v>
      </c>
      <c r="F165" s="61">
        <v>3</v>
      </c>
      <c r="G165" s="1">
        <v>7816.7</v>
      </c>
      <c r="H165" s="1">
        <v>6548.7</v>
      </c>
      <c r="I165" s="1">
        <v>6548.7</v>
      </c>
      <c r="J165" s="132">
        <v>312</v>
      </c>
      <c r="K165" s="8">
        <v>17585319.169999998</v>
      </c>
      <c r="L165" s="3">
        <v>0</v>
      </c>
      <c r="M165" s="3">
        <v>0</v>
      </c>
      <c r="N165" s="8">
        <v>17585319.169999998</v>
      </c>
      <c r="O165" s="3">
        <v>0</v>
      </c>
      <c r="P165" s="3">
        <v>0</v>
      </c>
      <c r="Q165" s="3">
        <v>0</v>
      </c>
      <c r="R165" s="133">
        <v>2026</v>
      </c>
      <c r="S165" s="61">
        <v>2026</v>
      </c>
    </row>
    <row r="166" spans="1:19">
      <c r="A166" s="76">
        <v>123</v>
      </c>
      <c r="B166" s="71" t="s">
        <v>576</v>
      </c>
      <c r="C166" s="85">
        <v>1983</v>
      </c>
      <c r="D166" s="95" t="s">
        <v>77</v>
      </c>
      <c r="E166" s="61">
        <v>9</v>
      </c>
      <c r="F166" s="61">
        <v>1</v>
      </c>
      <c r="G166" s="1">
        <v>2521.3000000000002</v>
      </c>
      <c r="H166" s="1">
        <v>2521.3000000000002</v>
      </c>
      <c r="I166" s="1">
        <v>2202.1999999999998</v>
      </c>
      <c r="J166" s="132">
        <v>99</v>
      </c>
      <c r="K166" s="8">
        <v>5861773.0599999996</v>
      </c>
      <c r="L166" s="3">
        <v>0</v>
      </c>
      <c r="M166" s="3">
        <v>0</v>
      </c>
      <c r="N166" s="8">
        <v>5861773.0599999996</v>
      </c>
      <c r="O166" s="3">
        <v>0</v>
      </c>
      <c r="P166" s="3">
        <v>0</v>
      </c>
      <c r="Q166" s="3">
        <v>0</v>
      </c>
      <c r="R166" s="133">
        <v>2026</v>
      </c>
      <c r="S166" s="61">
        <v>2026</v>
      </c>
    </row>
    <row r="167" spans="1:19">
      <c r="A167" s="76">
        <v>124</v>
      </c>
      <c r="B167" s="71" t="s">
        <v>697</v>
      </c>
      <c r="C167" s="85">
        <v>1983</v>
      </c>
      <c r="D167" s="95" t="s">
        <v>77</v>
      </c>
      <c r="E167" s="61">
        <v>9</v>
      </c>
      <c r="F167" s="61">
        <v>1</v>
      </c>
      <c r="G167" s="1">
        <v>2221.3000000000002</v>
      </c>
      <c r="H167" s="1">
        <v>2206.1</v>
      </c>
      <c r="I167" s="1">
        <v>2206.1</v>
      </c>
      <c r="J167" s="132">
        <v>106</v>
      </c>
      <c r="K167" s="8">
        <v>5861773.0599999996</v>
      </c>
      <c r="L167" s="3">
        <v>0</v>
      </c>
      <c r="M167" s="3">
        <v>0</v>
      </c>
      <c r="N167" s="8">
        <v>5861773.0599999996</v>
      </c>
      <c r="O167" s="3">
        <v>0</v>
      </c>
      <c r="P167" s="3">
        <v>0</v>
      </c>
      <c r="Q167" s="3">
        <v>0</v>
      </c>
      <c r="R167" s="133">
        <v>2026</v>
      </c>
      <c r="S167" s="61">
        <v>2026</v>
      </c>
    </row>
    <row r="168" spans="1:19" s="74" customFormat="1" ht="45.75" customHeight="1">
      <c r="A168" s="158" t="s">
        <v>201</v>
      </c>
      <c r="B168" s="159"/>
      <c r="C168" s="159"/>
      <c r="D168" s="159"/>
      <c r="E168" s="159"/>
      <c r="F168" s="160"/>
      <c r="G168" s="1">
        <f>G169</f>
        <v>1585.1</v>
      </c>
      <c r="H168" s="1">
        <f t="shared" ref="H168:Q168" si="38">H169</f>
        <v>1585.1</v>
      </c>
      <c r="I168" s="1">
        <f t="shared" si="38"/>
        <v>1423.4</v>
      </c>
      <c r="J168" s="15">
        <f t="shared" si="38"/>
        <v>42</v>
      </c>
      <c r="K168" s="1">
        <f t="shared" si="38"/>
        <v>5414514.79</v>
      </c>
      <c r="L168" s="2">
        <f t="shared" si="38"/>
        <v>0</v>
      </c>
      <c r="M168" s="2">
        <f t="shared" si="38"/>
        <v>0</v>
      </c>
      <c r="N168" s="1">
        <f t="shared" si="38"/>
        <v>5414514.79</v>
      </c>
      <c r="O168" s="2">
        <f t="shared" si="38"/>
        <v>0</v>
      </c>
      <c r="P168" s="2">
        <f t="shared" si="38"/>
        <v>0</v>
      </c>
      <c r="Q168" s="2">
        <f t="shared" si="38"/>
        <v>0</v>
      </c>
      <c r="R168" s="63" t="s">
        <v>52</v>
      </c>
      <c r="S168" s="63" t="s">
        <v>52</v>
      </c>
    </row>
    <row r="169" spans="1:19">
      <c r="A169" s="76">
        <v>125</v>
      </c>
      <c r="B169" s="121" t="s">
        <v>202</v>
      </c>
      <c r="C169" s="95">
        <v>1994</v>
      </c>
      <c r="D169" s="95" t="s">
        <v>77</v>
      </c>
      <c r="E169" s="95">
        <v>3</v>
      </c>
      <c r="F169" s="95">
        <v>3</v>
      </c>
      <c r="G169" s="1">
        <v>1585.1</v>
      </c>
      <c r="H169" s="1">
        <v>1585.1</v>
      </c>
      <c r="I169" s="1">
        <v>1423.4</v>
      </c>
      <c r="J169" s="15">
        <v>42</v>
      </c>
      <c r="K169" s="8">
        <f>L169+M169+N169+O169+P169+Q169</f>
        <v>5414514.79</v>
      </c>
      <c r="L169" s="3">
        <v>0</v>
      </c>
      <c r="M169" s="3">
        <v>0</v>
      </c>
      <c r="N169" s="8">
        <v>5414514.79</v>
      </c>
      <c r="O169" s="2">
        <v>0</v>
      </c>
      <c r="P169" s="2">
        <v>0</v>
      </c>
      <c r="Q169" s="2">
        <v>0</v>
      </c>
      <c r="R169" s="128">
        <v>2026</v>
      </c>
      <c r="S169" s="128">
        <v>2026</v>
      </c>
    </row>
    <row r="170" spans="1:19" ht="44.25" customHeight="1">
      <c r="A170" s="164" t="s">
        <v>41</v>
      </c>
      <c r="B170" s="164"/>
      <c r="C170" s="164"/>
      <c r="D170" s="164"/>
      <c r="E170" s="164"/>
      <c r="F170" s="164"/>
      <c r="G170" s="164"/>
      <c r="H170" s="164"/>
      <c r="I170" s="164"/>
      <c r="J170" s="164"/>
      <c r="K170" s="164"/>
      <c r="L170" s="164"/>
      <c r="M170" s="164"/>
      <c r="N170" s="164"/>
      <c r="O170" s="164"/>
      <c r="P170" s="164"/>
      <c r="Q170" s="164"/>
      <c r="R170" s="164"/>
      <c r="S170" s="164"/>
    </row>
    <row r="171" spans="1:19" ht="18.75" customHeight="1">
      <c r="A171" s="161" t="s">
        <v>328</v>
      </c>
      <c r="B171" s="162"/>
      <c r="C171" s="162"/>
      <c r="D171" s="162"/>
      <c r="E171" s="162"/>
      <c r="F171" s="163"/>
      <c r="G171" s="1">
        <f>G173+G175</f>
        <v>24739.18</v>
      </c>
      <c r="H171" s="80">
        <f t="shared" ref="H171:Q171" si="39">H173+H175</f>
        <v>19788.100000000002</v>
      </c>
      <c r="I171" s="80">
        <f t="shared" si="39"/>
        <v>19788.100000000002</v>
      </c>
      <c r="J171" s="15">
        <f t="shared" si="39"/>
        <v>777</v>
      </c>
      <c r="K171" s="1">
        <f t="shared" si="39"/>
        <v>8821430</v>
      </c>
      <c r="L171" s="3">
        <f t="shared" si="39"/>
        <v>0</v>
      </c>
      <c r="M171" s="3">
        <f t="shared" si="39"/>
        <v>0</v>
      </c>
      <c r="N171" s="80">
        <f t="shared" si="39"/>
        <v>8821430</v>
      </c>
      <c r="O171" s="3">
        <f t="shared" si="39"/>
        <v>0</v>
      </c>
      <c r="P171" s="3">
        <f t="shared" si="39"/>
        <v>0</v>
      </c>
      <c r="Q171" s="3">
        <f t="shared" si="39"/>
        <v>0</v>
      </c>
      <c r="R171" s="63" t="s">
        <v>52</v>
      </c>
      <c r="S171" s="63" t="s">
        <v>52</v>
      </c>
    </row>
    <row r="172" spans="1:19" ht="42.75" customHeight="1">
      <c r="A172" s="164" t="s">
        <v>19</v>
      </c>
      <c r="B172" s="164"/>
      <c r="C172" s="164"/>
      <c r="D172" s="164"/>
      <c r="E172" s="164"/>
      <c r="F172" s="164"/>
      <c r="G172" s="164"/>
      <c r="H172" s="164"/>
      <c r="I172" s="164"/>
      <c r="J172" s="164"/>
      <c r="K172" s="164"/>
      <c r="L172" s="164"/>
      <c r="M172" s="164"/>
      <c r="N172" s="164"/>
      <c r="O172" s="164"/>
      <c r="P172" s="164"/>
      <c r="Q172" s="164"/>
      <c r="R172" s="164"/>
      <c r="S172" s="164"/>
    </row>
    <row r="173" spans="1:19" ht="18.75" customHeight="1">
      <c r="A173" s="161" t="s">
        <v>328</v>
      </c>
      <c r="B173" s="162"/>
      <c r="C173" s="162"/>
      <c r="D173" s="162"/>
      <c r="E173" s="162"/>
      <c r="F173" s="163"/>
      <c r="G173" s="3">
        <v>0</v>
      </c>
      <c r="H173" s="3">
        <v>0</v>
      </c>
      <c r="I173" s="3">
        <v>0</v>
      </c>
      <c r="J173" s="1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63" t="s">
        <v>52</v>
      </c>
      <c r="S173" s="63" t="s">
        <v>52</v>
      </c>
    </row>
    <row r="174" spans="1:19" ht="44.25" customHeight="1">
      <c r="A174" s="164" t="s">
        <v>20</v>
      </c>
      <c r="B174" s="164"/>
      <c r="C174" s="164"/>
      <c r="D174" s="164"/>
      <c r="E174" s="164"/>
      <c r="F174" s="164"/>
      <c r="G174" s="164"/>
      <c r="H174" s="164"/>
      <c r="I174" s="164"/>
      <c r="J174" s="164"/>
      <c r="K174" s="164"/>
      <c r="L174" s="164"/>
      <c r="M174" s="164"/>
      <c r="N174" s="164"/>
      <c r="O174" s="164"/>
      <c r="P174" s="164"/>
      <c r="Q174" s="164"/>
      <c r="R174" s="164"/>
      <c r="S174" s="164"/>
    </row>
    <row r="175" spans="1:19" ht="18.75" customHeight="1">
      <c r="A175" s="161" t="s">
        <v>328</v>
      </c>
      <c r="B175" s="162"/>
      <c r="C175" s="162"/>
      <c r="D175" s="162"/>
      <c r="E175" s="162"/>
      <c r="F175" s="163"/>
      <c r="G175" s="1">
        <f>G176</f>
        <v>24739.18</v>
      </c>
      <c r="H175" s="1">
        <f t="shared" ref="H175:N175" si="40">H176</f>
        <v>19788.100000000002</v>
      </c>
      <c r="I175" s="80">
        <f t="shared" si="40"/>
        <v>19788.100000000002</v>
      </c>
      <c r="J175" s="15">
        <f t="shared" si="40"/>
        <v>777</v>
      </c>
      <c r="K175" s="8">
        <f t="shared" si="40"/>
        <v>8821430</v>
      </c>
      <c r="L175" s="3">
        <v>0</v>
      </c>
      <c r="M175" s="3">
        <v>0</v>
      </c>
      <c r="N175" s="80">
        <f t="shared" si="40"/>
        <v>8821430</v>
      </c>
      <c r="O175" s="3">
        <v>0</v>
      </c>
      <c r="P175" s="3">
        <v>0</v>
      </c>
      <c r="Q175" s="3">
        <v>0</v>
      </c>
      <c r="R175" s="63" t="s">
        <v>52</v>
      </c>
      <c r="S175" s="63" t="s">
        <v>52</v>
      </c>
    </row>
    <row r="176" spans="1:19" ht="53.25" customHeight="1">
      <c r="A176" s="158" t="s">
        <v>204</v>
      </c>
      <c r="B176" s="159"/>
      <c r="C176" s="159"/>
      <c r="D176" s="159"/>
      <c r="E176" s="159"/>
      <c r="F176" s="160"/>
      <c r="G176" s="1">
        <f>SUM(G177:G190)</f>
        <v>24739.18</v>
      </c>
      <c r="H176" s="1">
        <f t="shared" ref="H176:N176" si="41">SUM(H177:H190)</f>
        <v>19788.100000000002</v>
      </c>
      <c r="I176" s="80">
        <f t="shared" si="41"/>
        <v>19788.100000000002</v>
      </c>
      <c r="J176" s="15">
        <f t="shared" si="41"/>
        <v>777</v>
      </c>
      <c r="K176" s="8">
        <f t="shared" si="41"/>
        <v>8821430</v>
      </c>
      <c r="L176" s="3">
        <f t="shared" ref="L176:M176" si="42">L177</f>
        <v>0</v>
      </c>
      <c r="M176" s="3">
        <f t="shared" si="42"/>
        <v>0</v>
      </c>
      <c r="N176" s="80">
        <f t="shared" si="41"/>
        <v>8821430</v>
      </c>
      <c r="O176" s="3">
        <f t="shared" ref="O176:Q176" si="43">O177</f>
        <v>0</v>
      </c>
      <c r="P176" s="3">
        <f t="shared" si="43"/>
        <v>0</v>
      </c>
      <c r="Q176" s="3">
        <f t="shared" si="43"/>
        <v>0</v>
      </c>
      <c r="R176" s="133" t="s">
        <v>52</v>
      </c>
      <c r="S176" s="133" t="s">
        <v>52</v>
      </c>
    </row>
    <row r="177" spans="1:19" ht="18.75" customHeight="1">
      <c r="A177" s="76">
        <v>126</v>
      </c>
      <c r="B177" s="6" t="s">
        <v>698</v>
      </c>
      <c r="C177" s="95">
        <v>1988</v>
      </c>
      <c r="D177" s="95" t="s">
        <v>75</v>
      </c>
      <c r="E177" s="95">
        <v>5</v>
      </c>
      <c r="F177" s="95">
        <v>4</v>
      </c>
      <c r="G177" s="1">
        <v>3691</v>
      </c>
      <c r="H177" s="1">
        <v>2742.2</v>
      </c>
      <c r="I177" s="1">
        <v>2742.2</v>
      </c>
      <c r="J177" s="15">
        <v>85</v>
      </c>
      <c r="K177" s="1">
        <v>1128690</v>
      </c>
      <c r="L177" s="3">
        <v>0</v>
      </c>
      <c r="M177" s="3">
        <v>0</v>
      </c>
      <c r="N177" s="8">
        <v>1128690</v>
      </c>
      <c r="O177" s="2">
        <v>0</v>
      </c>
      <c r="P177" s="2">
        <v>0</v>
      </c>
      <c r="Q177" s="2">
        <v>0</v>
      </c>
      <c r="R177" s="133">
        <v>2026</v>
      </c>
      <c r="S177" s="133">
        <v>2026</v>
      </c>
    </row>
    <row r="178" spans="1:19" ht="18.75" customHeight="1">
      <c r="A178" s="76">
        <v>127</v>
      </c>
      <c r="B178" s="6" t="s">
        <v>699</v>
      </c>
      <c r="C178" s="95">
        <v>1979</v>
      </c>
      <c r="D178" s="95" t="s">
        <v>75</v>
      </c>
      <c r="E178" s="95">
        <v>2</v>
      </c>
      <c r="F178" s="95">
        <v>3</v>
      </c>
      <c r="G178" s="1">
        <v>867.3</v>
      </c>
      <c r="H178" s="1">
        <v>750.8</v>
      </c>
      <c r="I178" s="1">
        <v>750.8</v>
      </c>
      <c r="J178" s="15">
        <v>28</v>
      </c>
      <c r="K178" s="1">
        <v>280644</v>
      </c>
      <c r="L178" s="3">
        <v>0</v>
      </c>
      <c r="M178" s="3">
        <v>0</v>
      </c>
      <c r="N178" s="1">
        <v>280644</v>
      </c>
      <c r="O178" s="2">
        <v>0</v>
      </c>
      <c r="P178" s="2">
        <v>0</v>
      </c>
      <c r="Q178" s="2">
        <v>0</v>
      </c>
      <c r="R178" s="133">
        <v>2026</v>
      </c>
      <c r="S178" s="133">
        <v>2026</v>
      </c>
    </row>
    <row r="179" spans="1:19" ht="18.75" customHeight="1">
      <c r="A179" s="76">
        <v>128</v>
      </c>
      <c r="B179" s="6" t="s">
        <v>700</v>
      </c>
      <c r="C179" s="95">
        <v>1985</v>
      </c>
      <c r="D179" s="95" t="s">
        <v>75</v>
      </c>
      <c r="E179" s="95">
        <v>2</v>
      </c>
      <c r="F179" s="95">
        <v>2</v>
      </c>
      <c r="G179" s="1">
        <v>1175.9000000000001</v>
      </c>
      <c r="H179" s="1">
        <v>698.5</v>
      </c>
      <c r="I179" s="1">
        <v>698.5</v>
      </c>
      <c r="J179" s="15">
        <v>34</v>
      </c>
      <c r="K179" s="1">
        <v>478296</v>
      </c>
      <c r="L179" s="3">
        <v>0</v>
      </c>
      <c r="M179" s="3">
        <v>0</v>
      </c>
      <c r="N179" s="1">
        <v>478296</v>
      </c>
      <c r="O179" s="2">
        <v>0</v>
      </c>
      <c r="P179" s="2">
        <v>0</v>
      </c>
      <c r="Q179" s="2">
        <v>0</v>
      </c>
      <c r="R179" s="133">
        <v>2026</v>
      </c>
      <c r="S179" s="133">
        <v>2026</v>
      </c>
    </row>
    <row r="180" spans="1:19" ht="18.75" customHeight="1">
      <c r="A180" s="76">
        <v>129</v>
      </c>
      <c r="B180" s="6" t="s">
        <v>701</v>
      </c>
      <c r="C180" s="95">
        <v>1990</v>
      </c>
      <c r="D180" s="95" t="s">
        <v>75</v>
      </c>
      <c r="E180" s="95">
        <v>5</v>
      </c>
      <c r="F180" s="95">
        <v>2</v>
      </c>
      <c r="G180" s="1">
        <v>2308</v>
      </c>
      <c r="H180" s="1">
        <v>1762.7</v>
      </c>
      <c r="I180" s="1">
        <v>1762.7</v>
      </c>
      <c r="J180" s="15">
        <v>75</v>
      </c>
      <c r="K180" s="1">
        <v>252000</v>
      </c>
      <c r="L180" s="3">
        <v>0</v>
      </c>
      <c r="M180" s="3">
        <v>0</v>
      </c>
      <c r="N180" s="1">
        <v>252000</v>
      </c>
      <c r="O180" s="2">
        <v>0</v>
      </c>
      <c r="P180" s="2">
        <v>0</v>
      </c>
      <c r="Q180" s="2">
        <v>0</v>
      </c>
      <c r="R180" s="133">
        <v>2026</v>
      </c>
      <c r="S180" s="133">
        <v>2026</v>
      </c>
    </row>
    <row r="181" spans="1:19" ht="18.75" customHeight="1">
      <c r="A181" s="76">
        <v>130</v>
      </c>
      <c r="B181" s="6" t="s">
        <v>702</v>
      </c>
      <c r="C181" s="95">
        <v>1989</v>
      </c>
      <c r="D181" s="95" t="s">
        <v>75</v>
      </c>
      <c r="E181" s="95">
        <v>5</v>
      </c>
      <c r="F181" s="95">
        <v>6</v>
      </c>
      <c r="G181" s="1">
        <v>4131.5</v>
      </c>
      <c r="H181" s="1">
        <v>3994.5</v>
      </c>
      <c r="I181" s="1">
        <v>3994.5</v>
      </c>
      <c r="J181" s="15">
        <v>178</v>
      </c>
      <c r="K181" s="1">
        <v>169575</v>
      </c>
      <c r="L181" s="3">
        <v>0</v>
      </c>
      <c r="M181" s="3">
        <v>0</v>
      </c>
      <c r="N181" s="1">
        <v>169575</v>
      </c>
      <c r="O181" s="2">
        <v>0</v>
      </c>
      <c r="P181" s="2">
        <v>0</v>
      </c>
      <c r="Q181" s="2">
        <v>0</v>
      </c>
      <c r="R181" s="133">
        <v>2026</v>
      </c>
      <c r="S181" s="133">
        <v>2026</v>
      </c>
    </row>
    <row r="182" spans="1:19" ht="18.75" customHeight="1">
      <c r="A182" s="76">
        <v>131</v>
      </c>
      <c r="B182" s="6" t="s">
        <v>703</v>
      </c>
      <c r="C182" s="95">
        <v>1978</v>
      </c>
      <c r="D182" s="95" t="s">
        <v>118</v>
      </c>
      <c r="E182" s="95">
        <v>2</v>
      </c>
      <c r="F182" s="95">
        <v>2</v>
      </c>
      <c r="G182" s="1">
        <v>825.5</v>
      </c>
      <c r="H182" s="1">
        <v>761.5</v>
      </c>
      <c r="I182" s="1">
        <v>761.5</v>
      </c>
      <c r="J182" s="15">
        <v>23</v>
      </c>
      <c r="K182" s="1">
        <v>315042</v>
      </c>
      <c r="L182" s="3">
        <v>0</v>
      </c>
      <c r="M182" s="3">
        <v>0</v>
      </c>
      <c r="N182" s="1">
        <v>315042</v>
      </c>
      <c r="O182" s="2">
        <v>0</v>
      </c>
      <c r="P182" s="2">
        <v>0</v>
      </c>
      <c r="Q182" s="2">
        <v>0</v>
      </c>
      <c r="R182" s="133">
        <v>2026</v>
      </c>
      <c r="S182" s="133">
        <v>2026</v>
      </c>
    </row>
    <row r="183" spans="1:19" ht="18.75" customHeight="1">
      <c r="A183" s="76">
        <v>132</v>
      </c>
      <c r="B183" s="6" t="s">
        <v>704</v>
      </c>
      <c r="C183" s="95">
        <v>1984</v>
      </c>
      <c r="D183" s="95" t="s">
        <v>75</v>
      </c>
      <c r="E183" s="95">
        <v>2</v>
      </c>
      <c r="F183" s="95">
        <v>3</v>
      </c>
      <c r="G183" s="1">
        <v>1390.5</v>
      </c>
      <c r="H183" s="1">
        <v>833.8</v>
      </c>
      <c r="I183" s="1">
        <v>833.8</v>
      </c>
      <c r="J183" s="15">
        <v>37</v>
      </c>
      <c r="K183" s="1">
        <v>638232</v>
      </c>
      <c r="L183" s="3">
        <v>0</v>
      </c>
      <c r="M183" s="3">
        <v>0</v>
      </c>
      <c r="N183" s="1">
        <v>638232</v>
      </c>
      <c r="O183" s="2">
        <v>0</v>
      </c>
      <c r="P183" s="2">
        <v>0</v>
      </c>
      <c r="Q183" s="2">
        <v>0</v>
      </c>
      <c r="R183" s="133">
        <v>2026</v>
      </c>
      <c r="S183" s="133">
        <v>2026</v>
      </c>
    </row>
    <row r="184" spans="1:19" ht="18.75" customHeight="1">
      <c r="A184" s="76">
        <v>133</v>
      </c>
      <c r="B184" s="6" t="s">
        <v>705</v>
      </c>
      <c r="C184" s="95">
        <v>1990</v>
      </c>
      <c r="D184" s="95" t="s">
        <v>77</v>
      </c>
      <c r="E184" s="95">
        <v>3</v>
      </c>
      <c r="F184" s="95">
        <v>3</v>
      </c>
      <c r="G184" s="1">
        <v>2100.1</v>
      </c>
      <c r="H184" s="1">
        <v>1516.3</v>
      </c>
      <c r="I184" s="1">
        <v>1516.3</v>
      </c>
      <c r="J184" s="15">
        <v>66</v>
      </c>
      <c r="K184" s="1">
        <v>257250</v>
      </c>
      <c r="L184" s="3">
        <v>0</v>
      </c>
      <c r="M184" s="3">
        <v>0</v>
      </c>
      <c r="N184" s="1">
        <v>257250</v>
      </c>
      <c r="O184" s="2">
        <v>0</v>
      </c>
      <c r="P184" s="2">
        <v>0</v>
      </c>
      <c r="Q184" s="2">
        <v>0</v>
      </c>
      <c r="R184" s="133">
        <v>2026</v>
      </c>
      <c r="S184" s="133">
        <v>2026</v>
      </c>
    </row>
    <row r="185" spans="1:19" ht="18.75" customHeight="1">
      <c r="A185" s="76">
        <v>134</v>
      </c>
      <c r="B185" s="6" t="s">
        <v>706</v>
      </c>
      <c r="C185" s="95">
        <v>1978</v>
      </c>
      <c r="D185" s="95" t="s">
        <v>75</v>
      </c>
      <c r="E185" s="95">
        <v>2</v>
      </c>
      <c r="F185" s="95">
        <v>3</v>
      </c>
      <c r="G185" s="1">
        <v>1059.5</v>
      </c>
      <c r="H185" s="1">
        <v>982.1</v>
      </c>
      <c r="I185" s="1">
        <v>982.1</v>
      </c>
      <c r="J185" s="15">
        <v>45</v>
      </c>
      <c r="K185" s="1">
        <v>1544454</v>
      </c>
      <c r="L185" s="3">
        <v>0</v>
      </c>
      <c r="M185" s="3">
        <v>0</v>
      </c>
      <c r="N185" s="1">
        <v>1544454</v>
      </c>
      <c r="O185" s="2">
        <v>0</v>
      </c>
      <c r="P185" s="2">
        <v>0</v>
      </c>
      <c r="Q185" s="2">
        <v>0</v>
      </c>
      <c r="R185" s="133">
        <v>2026</v>
      </c>
      <c r="S185" s="133">
        <v>2026</v>
      </c>
    </row>
    <row r="186" spans="1:19" ht="18.75" customHeight="1">
      <c r="A186" s="76">
        <v>135</v>
      </c>
      <c r="B186" s="6" t="s">
        <v>707</v>
      </c>
      <c r="C186" s="95">
        <v>1985</v>
      </c>
      <c r="D186" s="95" t="s">
        <v>77</v>
      </c>
      <c r="E186" s="95">
        <v>3</v>
      </c>
      <c r="F186" s="95">
        <v>2</v>
      </c>
      <c r="G186" s="1">
        <v>1235.9000000000001</v>
      </c>
      <c r="H186" s="1">
        <v>762.4</v>
      </c>
      <c r="I186" s="1">
        <v>762.4</v>
      </c>
      <c r="J186" s="15">
        <v>23</v>
      </c>
      <c r="K186" s="1">
        <v>105000</v>
      </c>
      <c r="L186" s="3">
        <v>0</v>
      </c>
      <c r="M186" s="3">
        <v>0</v>
      </c>
      <c r="N186" s="1">
        <v>105000</v>
      </c>
      <c r="O186" s="2">
        <v>0</v>
      </c>
      <c r="P186" s="2">
        <v>0</v>
      </c>
      <c r="Q186" s="2">
        <v>0</v>
      </c>
      <c r="R186" s="133">
        <v>2026</v>
      </c>
      <c r="S186" s="133">
        <v>2026</v>
      </c>
    </row>
    <row r="187" spans="1:19" ht="18.75" customHeight="1">
      <c r="A187" s="76">
        <v>136</v>
      </c>
      <c r="B187" s="6" t="s">
        <v>708</v>
      </c>
      <c r="C187" s="95">
        <v>1985</v>
      </c>
      <c r="D187" s="95" t="s">
        <v>75</v>
      </c>
      <c r="E187" s="95">
        <v>5</v>
      </c>
      <c r="F187" s="95">
        <v>4</v>
      </c>
      <c r="G187" s="1">
        <v>3362.28</v>
      </c>
      <c r="H187" s="1">
        <v>2604.3000000000002</v>
      </c>
      <c r="I187" s="1">
        <v>2604.3000000000002</v>
      </c>
      <c r="J187" s="15">
        <v>80</v>
      </c>
      <c r="K187" s="1">
        <v>336000</v>
      </c>
      <c r="L187" s="3">
        <v>0</v>
      </c>
      <c r="M187" s="3">
        <v>0</v>
      </c>
      <c r="N187" s="1">
        <v>336000</v>
      </c>
      <c r="O187" s="2">
        <v>0</v>
      </c>
      <c r="P187" s="2">
        <v>0</v>
      </c>
      <c r="Q187" s="2">
        <v>0</v>
      </c>
      <c r="R187" s="133">
        <v>2026</v>
      </c>
      <c r="S187" s="133">
        <v>2026</v>
      </c>
    </row>
    <row r="188" spans="1:19" ht="18.75" customHeight="1">
      <c r="A188" s="76">
        <v>137</v>
      </c>
      <c r="B188" s="121" t="s">
        <v>709</v>
      </c>
      <c r="C188" s="95">
        <v>1976</v>
      </c>
      <c r="D188" s="95" t="s">
        <v>75</v>
      </c>
      <c r="E188" s="95">
        <v>2</v>
      </c>
      <c r="F188" s="95">
        <v>2</v>
      </c>
      <c r="G188" s="1">
        <v>768</v>
      </c>
      <c r="H188" s="1">
        <v>710.9</v>
      </c>
      <c r="I188" s="1">
        <v>710.9</v>
      </c>
      <c r="J188" s="15">
        <v>34</v>
      </c>
      <c r="K188" s="1">
        <v>1130304</v>
      </c>
      <c r="L188" s="3">
        <v>0</v>
      </c>
      <c r="M188" s="3">
        <v>0</v>
      </c>
      <c r="N188" s="1">
        <v>1130304</v>
      </c>
      <c r="O188" s="2">
        <v>0</v>
      </c>
      <c r="P188" s="2">
        <v>0</v>
      </c>
      <c r="Q188" s="2">
        <v>0</v>
      </c>
      <c r="R188" s="133">
        <v>2026</v>
      </c>
      <c r="S188" s="133">
        <v>2026</v>
      </c>
    </row>
    <row r="189" spans="1:19" ht="18.75" customHeight="1">
      <c r="A189" s="76">
        <v>138</v>
      </c>
      <c r="B189" s="121" t="s">
        <v>710</v>
      </c>
      <c r="C189" s="95">
        <v>1980</v>
      </c>
      <c r="D189" s="95" t="s">
        <v>75</v>
      </c>
      <c r="E189" s="95">
        <v>2</v>
      </c>
      <c r="F189" s="95">
        <v>3</v>
      </c>
      <c r="G189" s="1">
        <v>1055</v>
      </c>
      <c r="H189" s="1">
        <v>957.4</v>
      </c>
      <c r="I189" s="1">
        <v>957.4</v>
      </c>
      <c r="J189" s="15">
        <v>42</v>
      </c>
      <c r="K189" s="1">
        <v>1642473</v>
      </c>
      <c r="L189" s="3">
        <v>0</v>
      </c>
      <c r="M189" s="3">
        <v>0</v>
      </c>
      <c r="N189" s="1">
        <v>1642473</v>
      </c>
      <c r="O189" s="2">
        <v>0</v>
      </c>
      <c r="P189" s="2">
        <v>0</v>
      </c>
      <c r="Q189" s="2">
        <v>0</v>
      </c>
      <c r="R189" s="133">
        <v>2026</v>
      </c>
      <c r="S189" s="133">
        <v>2026</v>
      </c>
    </row>
    <row r="190" spans="1:19" ht="18.75" customHeight="1">
      <c r="A190" s="76">
        <v>139</v>
      </c>
      <c r="B190" s="121" t="s">
        <v>711</v>
      </c>
      <c r="C190" s="95">
        <v>1973</v>
      </c>
      <c r="D190" s="95" t="s">
        <v>75</v>
      </c>
      <c r="E190" s="95">
        <v>2</v>
      </c>
      <c r="F190" s="95">
        <v>2</v>
      </c>
      <c r="G190" s="1">
        <v>768.7</v>
      </c>
      <c r="H190" s="1">
        <v>710.7</v>
      </c>
      <c r="I190" s="1">
        <v>710.7</v>
      </c>
      <c r="J190" s="15">
        <v>27</v>
      </c>
      <c r="K190" s="1">
        <v>543470</v>
      </c>
      <c r="L190" s="3">
        <v>0</v>
      </c>
      <c r="M190" s="3">
        <v>0</v>
      </c>
      <c r="N190" s="1">
        <v>543470</v>
      </c>
      <c r="O190" s="2">
        <v>0</v>
      </c>
      <c r="P190" s="2">
        <v>0</v>
      </c>
      <c r="Q190" s="2">
        <v>0</v>
      </c>
      <c r="R190" s="133">
        <v>2026</v>
      </c>
      <c r="S190" s="133">
        <v>2026</v>
      </c>
    </row>
    <row r="191" spans="1:19" ht="33" customHeight="1">
      <c r="A191" s="164" t="s">
        <v>648</v>
      </c>
      <c r="B191" s="164"/>
      <c r="C191" s="164"/>
      <c r="D191" s="164"/>
      <c r="E191" s="164"/>
      <c r="F191" s="16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</row>
    <row r="192" spans="1:19" ht="18.75" customHeight="1">
      <c r="A192" s="161" t="s">
        <v>328</v>
      </c>
      <c r="B192" s="162"/>
      <c r="C192" s="162"/>
      <c r="D192" s="162"/>
      <c r="E192" s="162"/>
      <c r="F192" s="163"/>
      <c r="G192" s="8">
        <f t="shared" ref="G192:Q192" si="44">G194+G302</f>
        <v>182762.74</v>
      </c>
      <c r="H192" s="8">
        <f t="shared" si="44"/>
        <v>166812.56999999998</v>
      </c>
      <c r="I192" s="8">
        <f t="shared" si="44"/>
        <v>161134.58999999994</v>
      </c>
      <c r="J192" s="58">
        <f t="shared" si="44"/>
        <v>6532</v>
      </c>
      <c r="K192" s="8">
        <f t="shared" si="44"/>
        <v>935546845.11999989</v>
      </c>
      <c r="L192" s="8">
        <f t="shared" si="44"/>
        <v>0</v>
      </c>
      <c r="M192" s="8">
        <f t="shared" si="44"/>
        <v>0</v>
      </c>
      <c r="N192" s="8">
        <f t="shared" si="44"/>
        <v>935546845.11999989</v>
      </c>
      <c r="O192" s="8">
        <f t="shared" si="44"/>
        <v>0</v>
      </c>
      <c r="P192" s="8">
        <f t="shared" si="44"/>
        <v>0</v>
      </c>
      <c r="Q192" s="8">
        <f t="shared" si="44"/>
        <v>0</v>
      </c>
      <c r="R192" s="8" t="s">
        <v>52</v>
      </c>
      <c r="S192" s="8" t="s">
        <v>52</v>
      </c>
    </row>
    <row r="193" spans="1:19" ht="36.75" customHeight="1">
      <c r="A193" s="164" t="s">
        <v>31</v>
      </c>
      <c r="B193" s="164"/>
      <c r="C193" s="164"/>
      <c r="D193" s="164"/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</row>
    <row r="194" spans="1:19" ht="18.75" customHeight="1">
      <c r="A194" s="161" t="s">
        <v>328</v>
      </c>
      <c r="B194" s="162"/>
      <c r="C194" s="162"/>
      <c r="D194" s="162"/>
      <c r="E194" s="162"/>
      <c r="F194" s="163"/>
      <c r="G194" s="8">
        <f t="shared" ref="G194:Q194" si="45">G195+G289+G207+G209+G211+G216+G218+G220+G227+G229+G231+G237+G239+G244+G246+G259+G261+G265+G267+G269+G271+G282+G284+G286+G295+G297</f>
        <v>182762.74</v>
      </c>
      <c r="H194" s="8">
        <f t="shared" si="45"/>
        <v>166812.56999999998</v>
      </c>
      <c r="I194" s="8">
        <f t="shared" si="45"/>
        <v>161134.58999999994</v>
      </c>
      <c r="J194" s="58">
        <f t="shared" si="45"/>
        <v>6532</v>
      </c>
      <c r="K194" s="8">
        <f t="shared" si="45"/>
        <v>935546845.11999989</v>
      </c>
      <c r="L194" s="8">
        <f t="shared" si="45"/>
        <v>0</v>
      </c>
      <c r="M194" s="8">
        <f t="shared" si="45"/>
        <v>0</v>
      </c>
      <c r="N194" s="8">
        <f t="shared" si="45"/>
        <v>935546845.11999989</v>
      </c>
      <c r="O194" s="8">
        <f t="shared" si="45"/>
        <v>0</v>
      </c>
      <c r="P194" s="8">
        <f t="shared" si="45"/>
        <v>0</v>
      </c>
      <c r="Q194" s="8">
        <f t="shared" si="45"/>
        <v>0</v>
      </c>
      <c r="R194" s="8" t="s">
        <v>52</v>
      </c>
      <c r="S194" s="8" t="s">
        <v>52</v>
      </c>
    </row>
    <row r="195" spans="1:19" ht="44.25" customHeight="1">
      <c r="A195" s="158" t="s">
        <v>475</v>
      </c>
      <c r="B195" s="159"/>
      <c r="C195" s="159"/>
      <c r="D195" s="159"/>
      <c r="E195" s="159"/>
      <c r="F195" s="160"/>
      <c r="G195" s="8">
        <f>SUM(G196:G206)</f>
        <v>43100.9</v>
      </c>
      <c r="H195" s="8">
        <f t="shared" ref="H195:Q195" si="46">SUM(H196:H206)</f>
        <v>41437.929999999993</v>
      </c>
      <c r="I195" s="8">
        <f t="shared" si="46"/>
        <v>38952.729999999996</v>
      </c>
      <c r="J195" s="58">
        <f t="shared" si="46"/>
        <v>1647</v>
      </c>
      <c r="K195" s="8">
        <f t="shared" si="46"/>
        <v>291528299.35000002</v>
      </c>
      <c r="L195" s="8">
        <f t="shared" si="46"/>
        <v>0</v>
      </c>
      <c r="M195" s="8">
        <f t="shared" si="46"/>
        <v>0</v>
      </c>
      <c r="N195" s="8">
        <f t="shared" si="46"/>
        <v>291528299.35000002</v>
      </c>
      <c r="O195" s="8">
        <f t="shared" si="46"/>
        <v>0</v>
      </c>
      <c r="P195" s="8">
        <f t="shared" si="46"/>
        <v>0</v>
      </c>
      <c r="Q195" s="8">
        <f t="shared" si="46"/>
        <v>0</v>
      </c>
      <c r="R195" s="8" t="s">
        <v>52</v>
      </c>
      <c r="S195" s="8" t="s">
        <v>52</v>
      </c>
    </row>
    <row r="196" spans="1:19" ht="18.75" customHeight="1">
      <c r="A196" s="76">
        <v>1</v>
      </c>
      <c r="B196" s="121" t="s">
        <v>346</v>
      </c>
      <c r="C196" s="95">
        <v>1984</v>
      </c>
      <c r="D196" s="95" t="s">
        <v>77</v>
      </c>
      <c r="E196" s="95">
        <v>12</v>
      </c>
      <c r="F196" s="95">
        <v>1</v>
      </c>
      <c r="G196" s="1">
        <v>4376.1000000000004</v>
      </c>
      <c r="H196" s="1">
        <v>3573.9</v>
      </c>
      <c r="I196" s="1">
        <f>H196-15.2-112.6</f>
        <v>3446.1000000000004</v>
      </c>
      <c r="J196" s="133">
        <v>177</v>
      </c>
      <c r="K196" s="8">
        <v>14743540.85</v>
      </c>
      <c r="L196" s="3">
        <v>0</v>
      </c>
      <c r="M196" s="3">
        <v>0</v>
      </c>
      <c r="N196" s="72">
        <v>14743540.85</v>
      </c>
      <c r="O196" s="3">
        <v>0</v>
      </c>
      <c r="P196" s="3">
        <v>0</v>
      </c>
      <c r="Q196" s="3">
        <v>0</v>
      </c>
      <c r="R196" s="133">
        <v>2027</v>
      </c>
      <c r="S196" s="133">
        <v>2027</v>
      </c>
    </row>
    <row r="197" spans="1:19" ht="18.75" customHeight="1">
      <c r="A197" s="76">
        <v>2</v>
      </c>
      <c r="B197" s="121" t="s">
        <v>578</v>
      </c>
      <c r="C197" s="95">
        <v>1987</v>
      </c>
      <c r="D197" s="95" t="s">
        <v>77</v>
      </c>
      <c r="E197" s="95">
        <v>12</v>
      </c>
      <c r="F197" s="95">
        <v>1</v>
      </c>
      <c r="G197" s="1">
        <v>3599.2</v>
      </c>
      <c r="H197" s="1">
        <v>3578</v>
      </c>
      <c r="I197" s="1">
        <f>H197-33.6-56.8</f>
        <v>3487.6</v>
      </c>
      <c r="J197" s="133">
        <v>117</v>
      </c>
      <c r="K197" s="8">
        <v>14743540.85</v>
      </c>
      <c r="L197" s="3">
        <v>0</v>
      </c>
      <c r="M197" s="3">
        <v>0</v>
      </c>
      <c r="N197" s="72">
        <v>14743540.85</v>
      </c>
      <c r="O197" s="3">
        <v>0</v>
      </c>
      <c r="P197" s="3">
        <v>0</v>
      </c>
      <c r="Q197" s="3">
        <v>0</v>
      </c>
      <c r="R197" s="133">
        <v>2027</v>
      </c>
      <c r="S197" s="133">
        <v>2027</v>
      </c>
    </row>
    <row r="198" spans="1:19" ht="18.75" customHeight="1">
      <c r="A198" s="76">
        <v>3</v>
      </c>
      <c r="B198" s="121" t="s">
        <v>457</v>
      </c>
      <c r="C198" s="95">
        <v>1991</v>
      </c>
      <c r="D198" s="95" t="s">
        <v>77</v>
      </c>
      <c r="E198" s="95">
        <v>9</v>
      </c>
      <c r="F198" s="95">
        <v>4</v>
      </c>
      <c r="G198" s="1">
        <v>10438.700000000001</v>
      </c>
      <c r="H198" s="1">
        <v>10438.700000000001</v>
      </c>
      <c r="I198" s="1">
        <f>10438.7-745.7</f>
        <v>9693</v>
      </c>
      <c r="J198" s="133">
        <v>402</v>
      </c>
      <c r="K198" s="8">
        <v>24502211.390000001</v>
      </c>
      <c r="L198" s="3">
        <v>0</v>
      </c>
      <c r="M198" s="3">
        <v>0</v>
      </c>
      <c r="N198" s="72">
        <v>24502211.390000001</v>
      </c>
      <c r="O198" s="3">
        <v>0</v>
      </c>
      <c r="P198" s="3">
        <v>0</v>
      </c>
      <c r="Q198" s="3">
        <v>0</v>
      </c>
      <c r="R198" s="133">
        <v>2027</v>
      </c>
      <c r="S198" s="133">
        <v>2027</v>
      </c>
    </row>
    <row r="199" spans="1:19" ht="18.75" customHeight="1">
      <c r="A199" s="76">
        <v>4</v>
      </c>
      <c r="B199" s="121" t="s">
        <v>492</v>
      </c>
      <c r="C199" s="95">
        <v>1986</v>
      </c>
      <c r="D199" s="95" t="s">
        <v>77</v>
      </c>
      <c r="E199" s="95">
        <v>9</v>
      </c>
      <c r="F199" s="95">
        <v>3</v>
      </c>
      <c r="G199" s="1">
        <v>6109.4</v>
      </c>
      <c r="H199" s="1">
        <v>6109.4</v>
      </c>
      <c r="I199" s="1">
        <f>H199-400.9</f>
        <v>5708.5</v>
      </c>
      <c r="J199" s="133">
        <v>236</v>
      </c>
      <c r="K199" s="8">
        <v>18376658.550000001</v>
      </c>
      <c r="L199" s="3">
        <v>0</v>
      </c>
      <c r="M199" s="3">
        <v>0</v>
      </c>
      <c r="N199" s="72">
        <v>18376658.550000001</v>
      </c>
      <c r="O199" s="3">
        <v>0</v>
      </c>
      <c r="P199" s="3">
        <v>0</v>
      </c>
      <c r="Q199" s="3">
        <v>0</v>
      </c>
      <c r="R199" s="133">
        <v>2027</v>
      </c>
      <c r="S199" s="133">
        <v>2027</v>
      </c>
    </row>
    <row r="200" spans="1:19" ht="18.75" customHeight="1">
      <c r="A200" s="76">
        <v>5</v>
      </c>
      <c r="B200" s="121" t="s">
        <v>348</v>
      </c>
      <c r="C200" s="95">
        <v>1996</v>
      </c>
      <c r="D200" s="95" t="s">
        <v>77</v>
      </c>
      <c r="E200" s="95">
        <v>11</v>
      </c>
      <c r="F200" s="95">
        <v>4</v>
      </c>
      <c r="G200" s="1">
        <v>10094.799999999999</v>
      </c>
      <c r="H200" s="1">
        <v>10046.23</v>
      </c>
      <c r="I200" s="1">
        <f>H200-946.8</f>
        <v>9099.43</v>
      </c>
      <c r="J200" s="133">
        <v>342</v>
      </c>
      <c r="K200" s="8">
        <v>29487081.710000001</v>
      </c>
      <c r="L200" s="3">
        <v>0</v>
      </c>
      <c r="M200" s="3">
        <v>0</v>
      </c>
      <c r="N200" s="72">
        <v>29487081.710000001</v>
      </c>
      <c r="O200" s="3">
        <v>0</v>
      </c>
      <c r="P200" s="3">
        <v>0</v>
      </c>
      <c r="Q200" s="3">
        <v>0</v>
      </c>
      <c r="R200" s="133">
        <v>2027</v>
      </c>
      <c r="S200" s="133">
        <v>2027</v>
      </c>
    </row>
    <row r="201" spans="1:19" ht="18.75" customHeight="1">
      <c r="A201" s="76">
        <v>6</v>
      </c>
      <c r="B201" s="121" t="s">
        <v>579</v>
      </c>
      <c r="C201" s="95">
        <v>1960</v>
      </c>
      <c r="D201" s="95" t="s">
        <v>75</v>
      </c>
      <c r="E201" s="95">
        <v>4</v>
      </c>
      <c r="F201" s="95">
        <v>4</v>
      </c>
      <c r="G201" s="1">
        <v>2708.6</v>
      </c>
      <c r="H201" s="1">
        <v>2515.1999999999998</v>
      </c>
      <c r="I201" s="1">
        <v>2515.1999999999998</v>
      </c>
      <c r="J201" s="133">
        <v>132</v>
      </c>
      <c r="K201" s="8">
        <v>35168882.719999999</v>
      </c>
      <c r="L201" s="3">
        <v>0</v>
      </c>
      <c r="M201" s="3">
        <v>0</v>
      </c>
      <c r="N201" s="72">
        <v>35168882.719999999</v>
      </c>
      <c r="O201" s="3">
        <v>0</v>
      </c>
      <c r="P201" s="3">
        <v>0</v>
      </c>
      <c r="Q201" s="3">
        <v>0</v>
      </c>
      <c r="R201" s="133">
        <v>2027</v>
      </c>
      <c r="S201" s="133">
        <v>2027</v>
      </c>
    </row>
    <row r="202" spans="1:19" ht="18.75" customHeight="1">
      <c r="A202" s="76">
        <v>7</v>
      </c>
      <c r="B202" s="121" t="s">
        <v>442</v>
      </c>
      <c r="C202" s="95">
        <v>1973</v>
      </c>
      <c r="D202" s="95" t="s">
        <v>118</v>
      </c>
      <c r="E202" s="95">
        <v>2</v>
      </c>
      <c r="F202" s="95">
        <v>2</v>
      </c>
      <c r="G202" s="1">
        <v>584.5</v>
      </c>
      <c r="H202" s="1">
        <v>534</v>
      </c>
      <c r="I202" s="1">
        <f>H202-147.3</f>
        <v>386.7</v>
      </c>
      <c r="J202" s="133">
        <v>25</v>
      </c>
      <c r="K202" s="8">
        <v>18484354.550000001</v>
      </c>
      <c r="L202" s="3">
        <v>0</v>
      </c>
      <c r="M202" s="3">
        <v>0</v>
      </c>
      <c r="N202" s="72">
        <v>18484354.550000001</v>
      </c>
      <c r="O202" s="3">
        <v>0</v>
      </c>
      <c r="P202" s="3">
        <v>0</v>
      </c>
      <c r="Q202" s="3">
        <v>0</v>
      </c>
      <c r="R202" s="133">
        <v>2027</v>
      </c>
      <c r="S202" s="133">
        <v>2027</v>
      </c>
    </row>
    <row r="203" spans="1:19" ht="18.75" customHeight="1">
      <c r="A203" s="76">
        <v>8</v>
      </c>
      <c r="B203" s="121" t="s">
        <v>349</v>
      </c>
      <c r="C203" s="95">
        <v>1952</v>
      </c>
      <c r="D203" s="95" t="s">
        <v>75</v>
      </c>
      <c r="E203" s="95">
        <v>2</v>
      </c>
      <c r="F203" s="95">
        <v>1</v>
      </c>
      <c r="G203" s="1">
        <v>423.3</v>
      </c>
      <c r="H203" s="1">
        <v>387.2</v>
      </c>
      <c r="I203" s="1">
        <v>387.2</v>
      </c>
      <c r="J203" s="133">
        <v>18</v>
      </c>
      <c r="K203" s="8">
        <v>13356928.450000001</v>
      </c>
      <c r="L203" s="3">
        <v>0</v>
      </c>
      <c r="M203" s="3">
        <v>0</v>
      </c>
      <c r="N203" s="72">
        <v>13356928.450000001</v>
      </c>
      <c r="O203" s="3">
        <v>0</v>
      </c>
      <c r="P203" s="3">
        <v>0</v>
      </c>
      <c r="Q203" s="3">
        <v>0</v>
      </c>
      <c r="R203" s="133">
        <v>2027</v>
      </c>
      <c r="S203" s="133">
        <v>2027</v>
      </c>
    </row>
    <row r="204" spans="1:19" ht="18.75" customHeight="1">
      <c r="A204" s="76">
        <v>9</v>
      </c>
      <c r="B204" s="121" t="s">
        <v>350</v>
      </c>
      <c r="C204" s="95">
        <v>1968</v>
      </c>
      <c r="D204" s="95" t="s">
        <v>75</v>
      </c>
      <c r="E204" s="95">
        <v>3</v>
      </c>
      <c r="F204" s="95">
        <v>3</v>
      </c>
      <c r="G204" s="1">
        <v>2296.5</v>
      </c>
      <c r="H204" s="1">
        <v>1906</v>
      </c>
      <c r="I204" s="1">
        <v>1906</v>
      </c>
      <c r="J204" s="133">
        <v>100</v>
      </c>
      <c r="K204" s="8">
        <v>50932637.279999994</v>
      </c>
      <c r="L204" s="3">
        <v>0</v>
      </c>
      <c r="M204" s="3">
        <v>0</v>
      </c>
      <c r="N204" s="72">
        <v>50932637.279999994</v>
      </c>
      <c r="O204" s="3">
        <v>0</v>
      </c>
      <c r="P204" s="3">
        <v>0</v>
      </c>
      <c r="Q204" s="3">
        <v>0</v>
      </c>
      <c r="R204" s="133">
        <v>2027</v>
      </c>
      <c r="S204" s="133">
        <v>2027</v>
      </c>
    </row>
    <row r="205" spans="1:19" ht="18.75" customHeight="1">
      <c r="A205" s="76">
        <v>10</v>
      </c>
      <c r="B205" s="121" t="s">
        <v>577</v>
      </c>
      <c r="C205" s="95">
        <v>1959</v>
      </c>
      <c r="D205" s="95" t="s">
        <v>75</v>
      </c>
      <c r="E205" s="95">
        <v>5</v>
      </c>
      <c r="F205" s="95">
        <v>2</v>
      </c>
      <c r="G205" s="1">
        <v>1723.5</v>
      </c>
      <c r="H205" s="1">
        <v>1603</v>
      </c>
      <c r="I205" s="1">
        <f>H205</f>
        <v>1603</v>
      </c>
      <c r="J205" s="133">
        <v>69</v>
      </c>
      <c r="K205" s="8">
        <v>46374643.899999999</v>
      </c>
      <c r="L205" s="3">
        <v>0</v>
      </c>
      <c r="M205" s="3">
        <v>0</v>
      </c>
      <c r="N205" s="72">
        <v>46374643.899999999</v>
      </c>
      <c r="O205" s="3">
        <v>0</v>
      </c>
      <c r="P205" s="3">
        <v>0</v>
      </c>
      <c r="Q205" s="3">
        <v>0</v>
      </c>
      <c r="R205" s="133">
        <v>2027</v>
      </c>
      <c r="S205" s="133">
        <v>2027</v>
      </c>
    </row>
    <row r="206" spans="1:19" ht="18.75" customHeight="1">
      <c r="A206" s="76">
        <v>11</v>
      </c>
      <c r="B206" s="121" t="s">
        <v>351</v>
      </c>
      <c r="C206" s="95">
        <v>1964</v>
      </c>
      <c r="D206" s="95" t="s">
        <v>118</v>
      </c>
      <c r="E206" s="95">
        <v>2</v>
      </c>
      <c r="F206" s="95">
        <v>2</v>
      </c>
      <c r="G206" s="1">
        <v>746.3</v>
      </c>
      <c r="H206" s="1">
        <v>746.3</v>
      </c>
      <c r="I206" s="1">
        <f>H206-26.3</f>
        <v>720</v>
      </c>
      <c r="J206" s="133">
        <v>29</v>
      </c>
      <c r="K206" s="8">
        <v>25357819.100000001</v>
      </c>
      <c r="L206" s="3">
        <v>0</v>
      </c>
      <c r="M206" s="3">
        <v>0</v>
      </c>
      <c r="N206" s="72">
        <v>25357819.100000001</v>
      </c>
      <c r="O206" s="3">
        <v>0</v>
      </c>
      <c r="P206" s="3">
        <v>0</v>
      </c>
      <c r="Q206" s="3">
        <v>0</v>
      </c>
      <c r="R206" s="133">
        <v>2027</v>
      </c>
      <c r="S206" s="133">
        <v>2027</v>
      </c>
    </row>
    <row r="207" spans="1:19" ht="35.25" customHeight="1">
      <c r="A207" s="158" t="s">
        <v>153</v>
      </c>
      <c r="B207" s="159"/>
      <c r="C207" s="159"/>
      <c r="D207" s="159"/>
      <c r="E207" s="159"/>
      <c r="F207" s="160"/>
      <c r="G207" s="8">
        <f>G208</f>
        <v>1700.7</v>
      </c>
      <c r="H207" s="8">
        <f t="shared" ref="H207:Q207" si="47">H208</f>
        <v>1550.7</v>
      </c>
      <c r="I207" s="8">
        <f t="shared" si="47"/>
        <v>1550.7</v>
      </c>
      <c r="J207" s="128">
        <f t="shared" si="47"/>
        <v>77</v>
      </c>
      <c r="K207" s="8">
        <f t="shared" si="47"/>
        <v>7624155.1399999997</v>
      </c>
      <c r="L207" s="3">
        <f t="shared" si="47"/>
        <v>0</v>
      </c>
      <c r="M207" s="3">
        <f t="shared" si="47"/>
        <v>0</v>
      </c>
      <c r="N207" s="8">
        <f t="shared" si="47"/>
        <v>7624155.1399999997</v>
      </c>
      <c r="O207" s="3">
        <f t="shared" si="47"/>
        <v>0</v>
      </c>
      <c r="P207" s="3">
        <f t="shared" si="47"/>
        <v>0</v>
      </c>
      <c r="Q207" s="3">
        <f t="shared" si="47"/>
        <v>0</v>
      </c>
      <c r="R207" s="133" t="s">
        <v>52</v>
      </c>
      <c r="S207" s="133" t="s">
        <v>52</v>
      </c>
    </row>
    <row r="208" spans="1:19" ht="18.75" customHeight="1">
      <c r="A208" s="76">
        <v>12</v>
      </c>
      <c r="B208" s="6" t="s">
        <v>712</v>
      </c>
      <c r="C208" s="73">
        <v>1964</v>
      </c>
      <c r="D208" s="76" t="s">
        <v>75</v>
      </c>
      <c r="E208" s="64">
        <v>5</v>
      </c>
      <c r="F208" s="64">
        <v>2</v>
      </c>
      <c r="G208" s="8">
        <v>1700.7</v>
      </c>
      <c r="H208" s="8">
        <v>1550.7</v>
      </c>
      <c r="I208" s="8">
        <v>1550.7</v>
      </c>
      <c r="J208" s="133">
        <v>77</v>
      </c>
      <c r="K208" s="8">
        <f>L208+M208+N208+O208+P208+Q208</f>
        <v>7624155.1399999997</v>
      </c>
      <c r="L208" s="2">
        <v>0</v>
      </c>
      <c r="M208" s="2">
        <v>0</v>
      </c>
      <c r="N208" s="8">
        <v>7624155.1399999997</v>
      </c>
      <c r="O208" s="2">
        <v>0</v>
      </c>
      <c r="P208" s="2">
        <v>0</v>
      </c>
      <c r="Q208" s="2">
        <v>0</v>
      </c>
      <c r="R208" s="133">
        <v>2027</v>
      </c>
      <c r="S208" s="133">
        <v>2027</v>
      </c>
    </row>
    <row r="209" spans="1:19" ht="39.75" customHeight="1">
      <c r="A209" s="158" t="s">
        <v>222</v>
      </c>
      <c r="B209" s="159"/>
      <c r="C209" s="159"/>
      <c r="D209" s="159"/>
      <c r="E209" s="159"/>
      <c r="F209" s="160"/>
      <c r="G209" s="8">
        <f>G210</f>
        <v>503.2</v>
      </c>
      <c r="H209" s="8">
        <f t="shared" ref="H209:Q209" si="48">H210</f>
        <v>456.8</v>
      </c>
      <c r="I209" s="8">
        <f t="shared" si="48"/>
        <v>456.8</v>
      </c>
      <c r="J209" s="58">
        <f t="shared" si="48"/>
        <v>16</v>
      </c>
      <c r="K209" s="8">
        <f t="shared" si="48"/>
        <v>6509855.54</v>
      </c>
      <c r="L209" s="8">
        <f t="shared" si="48"/>
        <v>0</v>
      </c>
      <c r="M209" s="8">
        <f t="shared" si="48"/>
        <v>0</v>
      </c>
      <c r="N209" s="8">
        <f t="shared" si="48"/>
        <v>6509855.54</v>
      </c>
      <c r="O209" s="8">
        <f t="shared" si="48"/>
        <v>0</v>
      </c>
      <c r="P209" s="8">
        <f t="shared" si="48"/>
        <v>0</v>
      </c>
      <c r="Q209" s="8">
        <f t="shared" si="48"/>
        <v>0</v>
      </c>
      <c r="R209" s="133" t="s">
        <v>52</v>
      </c>
      <c r="S209" s="133" t="s">
        <v>52</v>
      </c>
    </row>
    <row r="210" spans="1:19" ht="18.75" customHeight="1">
      <c r="A210" s="76">
        <v>13</v>
      </c>
      <c r="B210" s="20" t="s">
        <v>713</v>
      </c>
      <c r="C210" s="76">
        <v>1980</v>
      </c>
      <c r="D210" s="76" t="s">
        <v>75</v>
      </c>
      <c r="E210" s="76">
        <v>2</v>
      </c>
      <c r="F210" s="76">
        <v>2</v>
      </c>
      <c r="G210" s="2">
        <v>503.2</v>
      </c>
      <c r="H210" s="2">
        <v>456.8</v>
      </c>
      <c r="I210" s="2">
        <v>456.8</v>
      </c>
      <c r="J210" s="128">
        <v>16</v>
      </c>
      <c r="K210" s="8">
        <v>6509855.54</v>
      </c>
      <c r="L210" s="2">
        <v>0</v>
      </c>
      <c r="M210" s="1">
        <v>0</v>
      </c>
      <c r="N210" s="8">
        <v>6509855.54</v>
      </c>
      <c r="O210" s="2">
        <v>0</v>
      </c>
      <c r="P210" s="1">
        <v>0</v>
      </c>
      <c r="Q210" s="1">
        <v>0</v>
      </c>
      <c r="R210" s="128">
        <v>2027</v>
      </c>
      <c r="S210" s="128">
        <v>2027</v>
      </c>
    </row>
    <row r="211" spans="1:19" ht="38.25" customHeight="1">
      <c r="A211" s="158" t="s">
        <v>130</v>
      </c>
      <c r="B211" s="159"/>
      <c r="C211" s="159"/>
      <c r="D211" s="159"/>
      <c r="E211" s="159"/>
      <c r="F211" s="160"/>
      <c r="G211" s="8">
        <f>SUM(G212:G215)</f>
        <v>5152.6000000000004</v>
      </c>
      <c r="H211" s="8">
        <f t="shared" ref="H211:Q211" si="49">SUM(H212:H215)</f>
        <v>5149.8</v>
      </c>
      <c r="I211" s="8">
        <f t="shared" si="49"/>
        <v>5089.9000000000005</v>
      </c>
      <c r="J211" s="66">
        <f t="shared" si="49"/>
        <v>181</v>
      </c>
      <c r="K211" s="8">
        <f t="shared" si="49"/>
        <v>32049879.419999998</v>
      </c>
      <c r="L211" s="3">
        <f t="shared" si="49"/>
        <v>0</v>
      </c>
      <c r="M211" s="3">
        <f t="shared" si="49"/>
        <v>0</v>
      </c>
      <c r="N211" s="63">
        <f t="shared" si="49"/>
        <v>32049879.419999998</v>
      </c>
      <c r="O211" s="3">
        <f t="shared" si="49"/>
        <v>0</v>
      </c>
      <c r="P211" s="3">
        <f t="shared" si="49"/>
        <v>0</v>
      </c>
      <c r="Q211" s="3">
        <f t="shared" si="49"/>
        <v>0</v>
      </c>
      <c r="R211" s="133" t="s">
        <v>52</v>
      </c>
      <c r="S211" s="133" t="s">
        <v>52</v>
      </c>
    </row>
    <row r="212" spans="1:19" ht="18.75" customHeight="1">
      <c r="A212" s="120">
        <v>14</v>
      </c>
      <c r="B212" s="69" t="s">
        <v>580</v>
      </c>
      <c r="C212" s="66">
        <v>1985</v>
      </c>
      <c r="D212" s="66" t="s">
        <v>77</v>
      </c>
      <c r="E212" s="70">
        <v>5</v>
      </c>
      <c r="F212" s="70">
        <v>4</v>
      </c>
      <c r="G212" s="8">
        <v>2821.7</v>
      </c>
      <c r="H212" s="8">
        <v>2821.7</v>
      </c>
      <c r="I212" s="8">
        <v>2821.7</v>
      </c>
      <c r="J212" s="66">
        <v>94</v>
      </c>
      <c r="K212" s="37">
        <v>10872150.970000001</v>
      </c>
      <c r="L212" s="8">
        <v>0</v>
      </c>
      <c r="M212" s="8">
        <v>0</v>
      </c>
      <c r="N212" s="37">
        <v>10872150.970000001</v>
      </c>
      <c r="O212" s="8">
        <v>0</v>
      </c>
      <c r="P212" s="8">
        <v>0</v>
      </c>
      <c r="Q212" s="8">
        <v>0</v>
      </c>
      <c r="R212" s="68">
        <v>2027</v>
      </c>
      <c r="S212" s="68">
        <v>2027</v>
      </c>
    </row>
    <row r="213" spans="1:19" ht="18.75" customHeight="1">
      <c r="A213" s="120">
        <v>15</v>
      </c>
      <c r="B213" s="69" t="s">
        <v>716</v>
      </c>
      <c r="C213" s="70">
        <v>1956</v>
      </c>
      <c r="D213" s="70" t="s">
        <v>75</v>
      </c>
      <c r="E213" s="70">
        <v>2</v>
      </c>
      <c r="F213" s="70">
        <v>2</v>
      </c>
      <c r="G213" s="2">
        <v>723.1</v>
      </c>
      <c r="H213" s="2">
        <v>720.3</v>
      </c>
      <c r="I213" s="2">
        <v>720.3</v>
      </c>
      <c r="J213" s="66">
        <v>32</v>
      </c>
      <c r="K213" s="37">
        <v>11758793.109999999</v>
      </c>
      <c r="L213" s="8">
        <v>0</v>
      </c>
      <c r="M213" s="8">
        <v>0</v>
      </c>
      <c r="N213" s="37">
        <v>11758793.109999999</v>
      </c>
      <c r="O213" s="8">
        <v>0</v>
      </c>
      <c r="P213" s="8">
        <v>0</v>
      </c>
      <c r="Q213" s="8">
        <v>0</v>
      </c>
      <c r="R213" s="68">
        <v>2027</v>
      </c>
      <c r="S213" s="68">
        <v>2027</v>
      </c>
    </row>
    <row r="214" spans="1:19" ht="18.75" customHeight="1">
      <c r="A214" s="120">
        <v>16</v>
      </c>
      <c r="B214" s="67" t="s">
        <v>715</v>
      </c>
      <c r="C214" s="66">
        <v>1976</v>
      </c>
      <c r="D214" s="66" t="s">
        <v>77</v>
      </c>
      <c r="E214" s="66">
        <v>2</v>
      </c>
      <c r="F214" s="66">
        <v>2</v>
      </c>
      <c r="G214" s="2">
        <v>804.7</v>
      </c>
      <c r="H214" s="2">
        <v>804.7</v>
      </c>
      <c r="I214" s="2">
        <v>744.8</v>
      </c>
      <c r="J214" s="66">
        <v>25</v>
      </c>
      <c r="K214" s="37">
        <v>8286731.3799999999</v>
      </c>
      <c r="L214" s="8">
        <v>0</v>
      </c>
      <c r="M214" s="8">
        <v>0</v>
      </c>
      <c r="N214" s="37">
        <v>8286731.3799999999</v>
      </c>
      <c r="O214" s="8">
        <v>0</v>
      </c>
      <c r="P214" s="8">
        <v>0</v>
      </c>
      <c r="Q214" s="8">
        <v>0</v>
      </c>
      <c r="R214" s="68">
        <v>2027</v>
      </c>
      <c r="S214" s="68">
        <v>2027</v>
      </c>
    </row>
    <row r="215" spans="1:19" ht="18.75" customHeight="1">
      <c r="A215" s="120">
        <v>17</v>
      </c>
      <c r="B215" s="67" t="s">
        <v>714</v>
      </c>
      <c r="C215" s="66">
        <v>2000</v>
      </c>
      <c r="D215" s="66" t="s">
        <v>75</v>
      </c>
      <c r="E215" s="66">
        <v>2</v>
      </c>
      <c r="F215" s="66">
        <v>1</v>
      </c>
      <c r="G215" s="2">
        <v>803.1</v>
      </c>
      <c r="H215" s="2">
        <v>803.1</v>
      </c>
      <c r="I215" s="2">
        <v>803.1</v>
      </c>
      <c r="J215" s="66">
        <v>30</v>
      </c>
      <c r="K215" s="37">
        <v>1132203.96</v>
      </c>
      <c r="L215" s="8">
        <v>0</v>
      </c>
      <c r="M215" s="8">
        <v>0</v>
      </c>
      <c r="N215" s="37">
        <v>1132203.96</v>
      </c>
      <c r="O215" s="8">
        <v>0</v>
      </c>
      <c r="P215" s="8">
        <v>0</v>
      </c>
      <c r="Q215" s="8">
        <v>0</v>
      </c>
      <c r="R215" s="68">
        <v>2027</v>
      </c>
      <c r="S215" s="68">
        <v>2027</v>
      </c>
    </row>
    <row r="216" spans="1:19" ht="35.25" customHeight="1">
      <c r="A216" s="158" t="s">
        <v>73</v>
      </c>
      <c r="B216" s="159"/>
      <c r="C216" s="159"/>
      <c r="D216" s="159"/>
      <c r="E216" s="159"/>
      <c r="F216" s="160"/>
      <c r="G216" s="8">
        <f>G217</f>
        <v>1747.4</v>
      </c>
      <c r="H216" s="8">
        <f t="shared" ref="H216:Q216" si="50">H217</f>
        <v>1305.7</v>
      </c>
      <c r="I216" s="8">
        <f t="shared" si="50"/>
        <v>1305.7</v>
      </c>
      <c r="J216" s="58">
        <f t="shared" si="50"/>
        <v>37</v>
      </c>
      <c r="K216" s="8">
        <f t="shared" si="50"/>
        <v>28644390.699999999</v>
      </c>
      <c r="L216" s="3">
        <f t="shared" si="50"/>
        <v>0</v>
      </c>
      <c r="M216" s="3">
        <f t="shared" si="50"/>
        <v>0</v>
      </c>
      <c r="N216" s="63">
        <f t="shared" si="50"/>
        <v>28644390.699999999</v>
      </c>
      <c r="O216" s="3">
        <f t="shared" si="50"/>
        <v>0</v>
      </c>
      <c r="P216" s="3">
        <f t="shared" si="50"/>
        <v>0</v>
      </c>
      <c r="Q216" s="3">
        <f t="shared" si="50"/>
        <v>0</v>
      </c>
      <c r="R216" s="133" t="s">
        <v>52</v>
      </c>
      <c r="S216" s="133" t="s">
        <v>52</v>
      </c>
    </row>
    <row r="217" spans="1:19" ht="18.75" customHeight="1">
      <c r="A217" s="76">
        <v>18</v>
      </c>
      <c r="B217" s="121" t="s">
        <v>216</v>
      </c>
      <c r="C217" s="95">
        <v>1950</v>
      </c>
      <c r="D217" s="70" t="s">
        <v>75</v>
      </c>
      <c r="E217" s="95">
        <v>4</v>
      </c>
      <c r="F217" s="95">
        <v>3</v>
      </c>
      <c r="G217" s="3">
        <v>1747.4</v>
      </c>
      <c r="H217" s="3">
        <v>1305.7</v>
      </c>
      <c r="I217" s="3">
        <v>1305.7</v>
      </c>
      <c r="J217" s="133">
        <v>37</v>
      </c>
      <c r="K217" s="8">
        <f>L217+M217+N217+O217+P217+Q217</f>
        <v>28644390.699999999</v>
      </c>
      <c r="L217" s="8">
        <v>0</v>
      </c>
      <c r="M217" s="8">
        <v>0</v>
      </c>
      <c r="N217" s="8">
        <v>28644390.699999999</v>
      </c>
      <c r="O217" s="8">
        <v>0</v>
      </c>
      <c r="P217" s="8">
        <v>0</v>
      </c>
      <c r="Q217" s="8">
        <v>0</v>
      </c>
      <c r="R217" s="133">
        <v>2027</v>
      </c>
      <c r="S217" s="133">
        <v>2027</v>
      </c>
    </row>
    <row r="218" spans="1:19" ht="42.75" customHeight="1">
      <c r="A218" s="158" t="s">
        <v>142</v>
      </c>
      <c r="B218" s="159"/>
      <c r="C218" s="159"/>
      <c r="D218" s="159"/>
      <c r="E218" s="159"/>
      <c r="F218" s="160"/>
      <c r="G218" s="8">
        <f>G219</f>
        <v>1314.5</v>
      </c>
      <c r="H218" s="8">
        <f t="shared" ref="H218:N218" si="51">H219</f>
        <v>1314.5</v>
      </c>
      <c r="I218" s="8">
        <f t="shared" si="51"/>
        <v>1314.5</v>
      </c>
      <c r="J218" s="58">
        <f t="shared" si="51"/>
        <v>27</v>
      </c>
      <c r="K218" s="8">
        <f t="shared" si="51"/>
        <v>8916659.0500000007</v>
      </c>
      <c r="L218" s="3">
        <f t="shared" ref="L218:M218" si="52">SUM(L219:L228)</f>
        <v>0</v>
      </c>
      <c r="M218" s="3">
        <f t="shared" si="52"/>
        <v>0</v>
      </c>
      <c r="N218" s="63">
        <f t="shared" si="51"/>
        <v>8916659.0500000007</v>
      </c>
      <c r="O218" s="3">
        <f t="shared" ref="O218:Q218" si="53">SUM(O219:O228)</f>
        <v>0</v>
      </c>
      <c r="P218" s="3">
        <f t="shared" si="53"/>
        <v>0</v>
      </c>
      <c r="Q218" s="3">
        <f t="shared" si="53"/>
        <v>0</v>
      </c>
      <c r="R218" s="133" t="s">
        <v>52</v>
      </c>
      <c r="S218" s="133" t="s">
        <v>52</v>
      </c>
    </row>
    <row r="219" spans="1:19" ht="18.75" customHeight="1">
      <c r="A219" s="120">
        <v>19</v>
      </c>
      <c r="B219" s="121" t="s">
        <v>717</v>
      </c>
      <c r="C219" s="95">
        <v>1981</v>
      </c>
      <c r="D219" s="95" t="s">
        <v>118</v>
      </c>
      <c r="E219" s="95">
        <v>3</v>
      </c>
      <c r="F219" s="95">
        <v>3</v>
      </c>
      <c r="G219" s="8">
        <v>1314.5</v>
      </c>
      <c r="H219" s="8">
        <v>1314.5</v>
      </c>
      <c r="I219" s="3">
        <v>1314.5</v>
      </c>
      <c r="J219" s="58">
        <v>27</v>
      </c>
      <c r="K219" s="8">
        <v>8916659.0500000007</v>
      </c>
      <c r="L219" s="8">
        <v>0</v>
      </c>
      <c r="M219" s="8">
        <v>0</v>
      </c>
      <c r="N219" s="8">
        <v>8916659.0500000007</v>
      </c>
      <c r="O219" s="8">
        <v>0</v>
      </c>
      <c r="P219" s="8">
        <v>0</v>
      </c>
      <c r="Q219" s="8">
        <v>0</v>
      </c>
      <c r="R219" s="133">
        <v>2027</v>
      </c>
      <c r="S219" s="133">
        <v>2027</v>
      </c>
    </row>
    <row r="220" spans="1:19" ht="38.25" customHeight="1">
      <c r="A220" s="158" t="s">
        <v>284</v>
      </c>
      <c r="B220" s="159"/>
      <c r="C220" s="159"/>
      <c r="D220" s="159"/>
      <c r="E220" s="159"/>
      <c r="F220" s="160"/>
      <c r="G220" s="8">
        <f>SUM(G221:G226)</f>
        <v>8207.6</v>
      </c>
      <c r="H220" s="8">
        <f t="shared" ref="H220:Q220" si="54">SUM(H221:H226)</f>
        <v>7130</v>
      </c>
      <c r="I220" s="8">
        <f t="shared" si="54"/>
        <v>7090</v>
      </c>
      <c r="J220" s="58">
        <f t="shared" si="54"/>
        <v>259</v>
      </c>
      <c r="K220" s="8">
        <f t="shared" si="54"/>
        <v>57303746.829999998</v>
      </c>
      <c r="L220" s="8">
        <f t="shared" si="54"/>
        <v>0</v>
      </c>
      <c r="M220" s="8">
        <f t="shared" si="54"/>
        <v>0</v>
      </c>
      <c r="N220" s="63">
        <f t="shared" si="54"/>
        <v>57303746.829999998</v>
      </c>
      <c r="O220" s="8">
        <f t="shared" si="54"/>
        <v>0</v>
      </c>
      <c r="P220" s="8">
        <f t="shared" si="54"/>
        <v>0</v>
      </c>
      <c r="Q220" s="8">
        <f t="shared" si="54"/>
        <v>0</v>
      </c>
      <c r="R220" s="133" t="s">
        <v>52</v>
      </c>
      <c r="S220" s="133" t="s">
        <v>52</v>
      </c>
    </row>
    <row r="221" spans="1:19" ht="18.75" customHeight="1">
      <c r="A221" s="120">
        <v>20</v>
      </c>
      <c r="B221" s="121" t="s">
        <v>295</v>
      </c>
      <c r="C221" s="95">
        <v>1956</v>
      </c>
      <c r="D221" s="66" t="s">
        <v>75</v>
      </c>
      <c r="E221" s="95">
        <v>2</v>
      </c>
      <c r="F221" s="95">
        <v>2</v>
      </c>
      <c r="G221" s="8">
        <v>453.8</v>
      </c>
      <c r="H221" s="8">
        <v>453.8</v>
      </c>
      <c r="I221" s="3">
        <v>453.8</v>
      </c>
      <c r="J221" s="58">
        <v>14</v>
      </c>
      <c r="K221" s="8">
        <v>6392560.8399999999</v>
      </c>
      <c r="L221" s="8">
        <v>0</v>
      </c>
      <c r="M221" s="8">
        <v>0</v>
      </c>
      <c r="N221" s="8">
        <v>6392560.8399999999</v>
      </c>
      <c r="O221" s="8">
        <v>0</v>
      </c>
      <c r="P221" s="8">
        <v>0</v>
      </c>
      <c r="Q221" s="8">
        <v>0</v>
      </c>
      <c r="R221" s="133">
        <v>2027</v>
      </c>
      <c r="S221" s="133">
        <v>2027</v>
      </c>
    </row>
    <row r="222" spans="1:19" ht="22.5" customHeight="1">
      <c r="A222" s="120">
        <v>21</v>
      </c>
      <c r="B222" s="121" t="s">
        <v>463</v>
      </c>
      <c r="C222" s="95">
        <v>1981</v>
      </c>
      <c r="D222" s="66" t="s">
        <v>75</v>
      </c>
      <c r="E222" s="95">
        <v>2</v>
      </c>
      <c r="F222" s="95">
        <v>3</v>
      </c>
      <c r="G222" s="8">
        <v>903.7</v>
      </c>
      <c r="H222" s="8">
        <v>598.70000000000005</v>
      </c>
      <c r="I222" s="3">
        <v>598.70000000000005</v>
      </c>
      <c r="J222" s="58">
        <v>41</v>
      </c>
      <c r="K222" s="8">
        <v>5781116.4300000006</v>
      </c>
      <c r="L222" s="8">
        <v>0</v>
      </c>
      <c r="M222" s="8">
        <v>0</v>
      </c>
      <c r="N222" s="8">
        <v>5781116.4299999997</v>
      </c>
      <c r="O222" s="8">
        <v>0</v>
      </c>
      <c r="P222" s="8">
        <v>0</v>
      </c>
      <c r="Q222" s="8">
        <v>0</v>
      </c>
      <c r="R222" s="133">
        <v>2027</v>
      </c>
      <c r="S222" s="133">
        <v>2027</v>
      </c>
    </row>
    <row r="223" spans="1:19" ht="18.75" customHeight="1">
      <c r="A223" s="120">
        <v>22</v>
      </c>
      <c r="B223" s="121" t="s">
        <v>581</v>
      </c>
      <c r="C223" s="95">
        <v>1972</v>
      </c>
      <c r="D223" s="66" t="s">
        <v>75</v>
      </c>
      <c r="E223" s="95">
        <v>2</v>
      </c>
      <c r="F223" s="95">
        <v>2</v>
      </c>
      <c r="G223" s="8">
        <v>797.5</v>
      </c>
      <c r="H223" s="8">
        <v>732.2</v>
      </c>
      <c r="I223" s="3">
        <v>732.2</v>
      </c>
      <c r="J223" s="58">
        <v>25</v>
      </c>
      <c r="K223" s="8">
        <v>11289614.34</v>
      </c>
      <c r="L223" s="8">
        <v>0</v>
      </c>
      <c r="M223" s="8">
        <v>0</v>
      </c>
      <c r="N223" s="8">
        <v>11289614.34</v>
      </c>
      <c r="O223" s="8">
        <v>0</v>
      </c>
      <c r="P223" s="8">
        <v>0</v>
      </c>
      <c r="Q223" s="8">
        <v>0</v>
      </c>
      <c r="R223" s="133">
        <v>2027</v>
      </c>
      <c r="S223" s="133">
        <v>2027</v>
      </c>
    </row>
    <row r="224" spans="1:19" ht="18.75" customHeight="1">
      <c r="A224" s="120">
        <v>23</v>
      </c>
      <c r="B224" s="121" t="s">
        <v>297</v>
      </c>
      <c r="C224" s="95" t="s">
        <v>163</v>
      </c>
      <c r="D224" s="66" t="s">
        <v>75</v>
      </c>
      <c r="E224" s="95">
        <v>2</v>
      </c>
      <c r="F224" s="95">
        <v>1</v>
      </c>
      <c r="G224" s="8">
        <v>388.8</v>
      </c>
      <c r="H224" s="8">
        <v>343.7</v>
      </c>
      <c r="I224" s="3">
        <v>343.7</v>
      </c>
      <c r="J224" s="58">
        <v>11</v>
      </c>
      <c r="K224" s="8">
        <v>9119619.8899999987</v>
      </c>
      <c r="L224" s="8">
        <v>0</v>
      </c>
      <c r="M224" s="8">
        <v>0</v>
      </c>
      <c r="N224" s="8">
        <v>9119619.8900000006</v>
      </c>
      <c r="O224" s="8">
        <v>0</v>
      </c>
      <c r="P224" s="8">
        <v>0</v>
      </c>
      <c r="Q224" s="8">
        <v>0</v>
      </c>
      <c r="R224" s="133">
        <v>2027</v>
      </c>
      <c r="S224" s="133">
        <v>2027</v>
      </c>
    </row>
    <row r="225" spans="1:19" ht="18.75" customHeight="1">
      <c r="A225" s="120">
        <v>24</v>
      </c>
      <c r="B225" s="121" t="s">
        <v>582</v>
      </c>
      <c r="C225" s="95" t="s">
        <v>163</v>
      </c>
      <c r="D225" s="66" t="s">
        <v>75</v>
      </c>
      <c r="E225" s="95">
        <v>2</v>
      </c>
      <c r="F225" s="95">
        <v>1</v>
      </c>
      <c r="G225" s="8">
        <v>228.6</v>
      </c>
      <c r="H225" s="8">
        <v>228.6</v>
      </c>
      <c r="I225" s="3">
        <v>228.6</v>
      </c>
      <c r="J225" s="58">
        <v>11</v>
      </c>
      <c r="K225" s="8">
        <v>6344176.7800000003</v>
      </c>
      <c r="L225" s="8">
        <v>0</v>
      </c>
      <c r="M225" s="8">
        <v>0</v>
      </c>
      <c r="N225" s="8">
        <v>6344176.7800000003</v>
      </c>
      <c r="O225" s="8">
        <v>0</v>
      </c>
      <c r="P225" s="8">
        <v>0</v>
      </c>
      <c r="Q225" s="8">
        <v>0</v>
      </c>
      <c r="R225" s="133">
        <v>2027</v>
      </c>
      <c r="S225" s="133">
        <v>2027</v>
      </c>
    </row>
    <row r="226" spans="1:19" ht="18.75" customHeight="1">
      <c r="A226" s="120">
        <v>25</v>
      </c>
      <c r="B226" s="121" t="s">
        <v>294</v>
      </c>
      <c r="C226" s="95">
        <v>1977</v>
      </c>
      <c r="D226" s="66" t="s">
        <v>75</v>
      </c>
      <c r="E226" s="95">
        <v>9</v>
      </c>
      <c r="F226" s="95">
        <v>3</v>
      </c>
      <c r="G226" s="8">
        <v>5435.2</v>
      </c>
      <c r="H226" s="8">
        <v>4773</v>
      </c>
      <c r="I226" s="8">
        <v>4733</v>
      </c>
      <c r="J226" s="58">
        <v>157</v>
      </c>
      <c r="K226" s="8">
        <v>18376658.550000001</v>
      </c>
      <c r="L226" s="8">
        <v>0</v>
      </c>
      <c r="M226" s="8">
        <v>0</v>
      </c>
      <c r="N226" s="8">
        <v>18376658.550000001</v>
      </c>
      <c r="O226" s="8">
        <v>0</v>
      </c>
      <c r="P226" s="8">
        <v>0</v>
      </c>
      <c r="Q226" s="8">
        <v>0</v>
      </c>
      <c r="R226" s="133">
        <v>2027</v>
      </c>
      <c r="S226" s="133">
        <v>2027</v>
      </c>
    </row>
    <row r="227" spans="1:19" ht="41.25" customHeight="1">
      <c r="A227" s="158" t="s">
        <v>116</v>
      </c>
      <c r="B227" s="159"/>
      <c r="C227" s="159"/>
      <c r="D227" s="159"/>
      <c r="E227" s="159"/>
      <c r="F227" s="160"/>
      <c r="G227" s="8">
        <f>G228</f>
        <v>1594.2</v>
      </c>
      <c r="H227" s="8">
        <f t="shared" ref="H227:N227" si="55">H228</f>
        <v>1594.2</v>
      </c>
      <c r="I227" s="8">
        <f t="shared" si="55"/>
        <v>1308.9000000000001</v>
      </c>
      <c r="J227" s="66">
        <f t="shared" si="55"/>
        <v>68</v>
      </c>
      <c r="K227" s="8">
        <f t="shared" si="55"/>
        <v>5944476.0800000001</v>
      </c>
      <c r="L227" s="2">
        <v>0</v>
      </c>
      <c r="M227" s="2">
        <v>0</v>
      </c>
      <c r="N227" s="63">
        <f t="shared" si="55"/>
        <v>5944476.0800000001</v>
      </c>
      <c r="O227" s="2">
        <v>0</v>
      </c>
      <c r="P227" s="2">
        <v>0</v>
      </c>
      <c r="Q227" s="3">
        <f t="shared" ref="Q227" si="56">SUM(Q228:Q233)</f>
        <v>0</v>
      </c>
      <c r="R227" s="133" t="s">
        <v>52</v>
      </c>
      <c r="S227" s="133" t="s">
        <v>52</v>
      </c>
    </row>
    <row r="228" spans="1:19" ht="18.75" customHeight="1">
      <c r="A228" s="76">
        <v>26</v>
      </c>
      <c r="B228" s="121" t="s">
        <v>119</v>
      </c>
      <c r="C228" s="95">
        <v>1995</v>
      </c>
      <c r="D228" s="76" t="s">
        <v>77</v>
      </c>
      <c r="E228" s="95">
        <v>3</v>
      </c>
      <c r="F228" s="95">
        <v>2</v>
      </c>
      <c r="G228" s="8">
        <v>1594.2</v>
      </c>
      <c r="H228" s="8">
        <v>1594.2</v>
      </c>
      <c r="I228" s="8">
        <v>1308.9000000000001</v>
      </c>
      <c r="J228" s="133">
        <v>68</v>
      </c>
      <c r="K228" s="8">
        <v>5944476.0800000001</v>
      </c>
      <c r="L228" s="8">
        <v>0</v>
      </c>
      <c r="M228" s="8">
        <v>0</v>
      </c>
      <c r="N228" s="8">
        <v>5944476.0800000001</v>
      </c>
      <c r="O228" s="8">
        <v>0</v>
      </c>
      <c r="P228" s="8">
        <v>0</v>
      </c>
      <c r="Q228" s="8">
        <v>0</v>
      </c>
      <c r="R228" s="133">
        <v>2027</v>
      </c>
      <c r="S228" s="133">
        <v>2027</v>
      </c>
    </row>
    <row r="229" spans="1:19" ht="50.25" customHeight="1">
      <c r="A229" s="158" t="s">
        <v>271</v>
      </c>
      <c r="B229" s="159"/>
      <c r="C229" s="159"/>
      <c r="D229" s="159"/>
      <c r="E229" s="159"/>
      <c r="F229" s="160"/>
      <c r="G229" s="3">
        <f>G230</f>
        <v>532.4</v>
      </c>
      <c r="H229" s="3">
        <f t="shared" ref="H229:Q229" si="57">H230</f>
        <v>532.4</v>
      </c>
      <c r="I229" s="3">
        <f t="shared" si="57"/>
        <v>532.4</v>
      </c>
      <c r="J229" s="66">
        <f t="shared" si="57"/>
        <v>30</v>
      </c>
      <c r="K229" s="8">
        <f t="shared" si="57"/>
        <v>3373376.73</v>
      </c>
      <c r="L229" s="2">
        <f t="shared" si="57"/>
        <v>0</v>
      </c>
      <c r="M229" s="2">
        <f t="shared" si="57"/>
        <v>0</v>
      </c>
      <c r="N229" s="63">
        <f t="shared" si="57"/>
        <v>3373376.73</v>
      </c>
      <c r="O229" s="2">
        <f t="shared" si="57"/>
        <v>0</v>
      </c>
      <c r="P229" s="2">
        <f t="shared" si="57"/>
        <v>0</v>
      </c>
      <c r="Q229" s="2">
        <f t="shared" si="57"/>
        <v>0</v>
      </c>
      <c r="R229" s="133" t="s">
        <v>52</v>
      </c>
      <c r="S229" s="133" t="s">
        <v>52</v>
      </c>
    </row>
    <row r="230" spans="1:19" ht="18.75" customHeight="1">
      <c r="A230" s="76">
        <v>27</v>
      </c>
      <c r="B230" s="14" t="s">
        <v>276</v>
      </c>
      <c r="C230" s="95">
        <v>1977</v>
      </c>
      <c r="D230" s="76" t="s">
        <v>77</v>
      </c>
      <c r="E230" s="95">
        <v>2</v>
      </c>
      <c r="F230" s="95">
        <v>2</v>
      </c>
      <c r="G230" s="8">
        <v>532.4</v>
      </c>
      <c r="H230" s="8">
        <v>532.4</v>
      </c>
      <c r="I230" s="8">
        <v>532.4</v>
      </c>
      <c r="J230" s="58">
        <v>30</v>
      </c>
      <c r="K230" s="8">
        <v>3373376.73</v>
      </c>
      <c r="L230" s="8">
        <v>0</v>
      </c>
      <c r="M230" s="8">
        <v>0</v>
      </c>
      <c r="N230" s="8">
        <v>3373376.73</v>
      </c>
      <c r="O230" s="8">
        <v>0</v>
      </c>
      <c r="P230" s="8">
        <v>0</v>
      </c>
      <c r="Q230" s="8">
        <v>0</v>
      </c>
      <c r="R230" s="133">
        <v>2027</v>
      </c>
      <c r="S230" s="133">
        <v>2027</v>
      </c>
    </row>
    <row r="231" spans="1:19" ht="44.25" customHeight="1">
      <c r="A231" s="158" t="s">
        <v>76</v>
      </c>
      <c r="B231" s="159"/>
      <c r="C231" s="159"/>
      <c r="D231" s="159"/>
      <c r="E231" s="159"/>
      <c r="F231" s="160"/>
      <c r="G231" s="8">
        <f>SUM(G232:G236)</f>
        <v>5663.5599999999995</v>
      </c>
      <c r="H231" s="8">
        <f t="shared" ref="H231:Q231" si="58">SUM(H232:H236)</f>
        <v>5088.8600000000006</v>
      </c>
      <c r="I231" s="8">
        <f t="shared" si="58"/>
        <v>4906.8600000000006</v>
      </c>
      <c r="J231" s="66">
        <f t="shared" si="58"/>
        <v>225</v>
      </c>
      <c r="K231" s="8">
        <f t="shared" si="58"/>
        <v>27067512.969999999</v>
      </c>
      <c r="L231" s="2">
        <f t="shared" si="58"/>
        <v>0</v>
      </c>
      <c r="M231" s="2">
        <f t="shared" si="58"/>
        <v>0</v>
      </c>
      <c r="N231" s="63">
        <f t="shared" si="58"/>
        <v>27067512.969999999</v>
      </c>
      <c r="O231" s="2">
        <f t="shared" si="58"/>
        <v>0</v>
      </c>
      <c r="P231" s="2">
        <f t="shared" si="58"/>
        <v>0</v>
      </c>
      <c r="Q231" s="2">
        <f t="shared" si="58"/>
        <v>0</v>
      </c>
      <c r="R231" s="133" t="s">
        <v>52</v>
      </c>
      <c r="S231" s="133" t="s">
        <v>52</v>
      </c>
    </row>
    <row r="232" spans="1:19" ht="18.75" customHeight="1">
      <c r="A232" s="76">
        <v>28</v>
      </c>
      <c r="B232" s="121" t="s">
        <v>84</v>
      </c>
      <c r="C232" s="95">
        <v>1977</v>
      </c>
      <c r="D232" s="76" t="s">
        <v>77</v>
      </c>
      <c r="E232" s="95">
        <v>3</v>
      </c>
      <c r="F232" s="95">
        <v>2</v>
      </c>
      <c r="G232" s="3">
        <v>843.36</v>
      </c>
      <c r="H232" s="3">
        <v>485.46</v>
      </c>
      <c r="I232" s="3">
        <v>485.46</v>
      </c>
      <c r="J232" s="133">
        <v>23</v>
      </c>
      <c r="K232" s="8">
        <f>L232+M232+N232+O232+P232+Q232</f>
        <v>3165546.96</v>
      </c>
      <c r="L232" s="8">
        <v>0</v>
      </c>
      <c r="M232" s="8">
        <v>0</v>
      </c>
      <c r="N232" s="8">
        <v>3165546.96</v>
      </c>
      <c r="O232" s="8">
        <v>0</v>
      </c>
      <c r="P232" s="8">
        <v>0</v>
      </c>
      <c r="Q232" s="8">
        <v>0</v>
      </c>
      <c r="R232" s="133">
        <v>2027</v>
      </c>
      <c r="S232" s="133">
        <v>2027</v>
      </c>
    </row>
    <row r="233" spans="1:19" ht="18.75" customHeight="1">
      <c r="A233" s="76">
        <v>29</v>
      </c>
      <c r="B233" s="121" t="s">
        <v>85</v>
      </c>
      <c r="C233" s="95">
        <v>1990</v>
      </c>
      <c r="D233" s="76" t="s">
        <v>75</v>
      </c>
      <c r="E233" s="95">
        <v>3</v>
      </c>
      <c r="F233" s="95">
        <v>2</v>
      </c>
      <c r="G233" s="8">
        <v>1056.0999999999999</v>
      </c>
      <c r="H233" s="8">
        <v>1047.2</v>
      </c>
      <c r="I233" s="8">
        <v>1047.2</v>
      </c>
      <c r="J233" s="133">
        <v>39</v>
      </c>
      <c r="K233" s="8">
        <f>L233+M233+N233+O233+P233+Q233</f>
        <v>3267192.96</v>
      </c>
      <c r="L233" s="8">
        <v>0</v>
      </c>
      <c r="M233" s="8">
        <v>0</v>
      </c>
      <c r="N233" s="8">
        <v>3267192.96</v>
      </c>
      <c r="O233" s="8">
        <v>0</v>
      </c>
      <c r="P233" s="8">
        <v>0</v>
      </c>
      <c r="Q233" s="8">
        <v>0</v>
      </c>
      <c r="R233" s="133">
        <v>2027</v>
      </c>
      <c r="S233" s="133">
        <v>2027</v>
      </c>
    </row>
    <row r="234" spans="1:19" ht="18.75" customHeight="1">
      <c r="A234" s="76">
        <v>30</v>
      </c>
      <c r="B234" s="121" t="s">
        <v>718</v>
      </c>
      <c r="C234" s="95">
        <v>1954</v>
      </c>
      <c r="D234" s="76" t="s">
        <v>75</v>
      </c>
      <c r="E234" s="95">
        <v>2</v>
      </c>
      <c r="F234" s="95">
        <v>2</v>
      </c>
      <c r="G234" s="3">
        <v>408.5</v>
      </c>
      <c r="H234" s="3">
        <v>256.5</v>
      </c>
      <c r="I234" s="3">
        <v>256.5</v>
      </c>
      <c r="J234" s="133">
        <v>15</v>
      </c>
      <c r="K234" s="8">
        <f>L234+M234+N234+O234+P234+Q234</f>
        <v>7037681.6600000001</v>
      </c>
      <c r="L234" s="8">
        <v>0</v>
      </c>
      <c r="M234" s="8">
        <v>0</v>
      </c>
      <c r="N234" s="8">
        <v>7037681.6600000001</v>
      </c>
      <c r="O234" s="8">
        <v>0</v>
      </c>
      <c r="P234" s="8">
        <v>0</v>
      </c>
      <c r="Q234" s="8">
        <v>0</v>
      </c>
      <c r="R234" s="133">
        <v>2027</v>
      </c>
      <c r="S234" s="133">
        <v>2027</v>
      </c>
    </row>
    <row r="235" spans="1:19" ht="18.75" customHeight="1">
      <c r="A235" s="76">
        <v>31</v>
      </c>
      <c r="B235" s="121" t="s">
        <v>91</v>
      </c>
      <c r="C235" s="95">
        <v>1970</v>
      </c>
      <c r="D235" s="76" t="s">
        <v>77</v>
      </c>
      <c r="E235" s="95">
        <v>2</v>
      </c>
      <c r="F235" s="95">
        <v>2</v>
      </c>
      <c r="G235" s="3">
        <v>802.1</v>
      </c>
      <c r="H235" s="3">
        <v>746.2</v>
      </c>
      <c r="I235" s="3">
        <v>746.2</v>
      </c>
      <c r="J235" s="133">
        <v>30</v>
      </c>
      <c r="K235" s="8">
        <f>L235+M235+N235+O235+P235+Q235</f>
        <v>5864734.7199999997</v>
      </c>
      <c r="L235" s="8">
        <v>0</v>
      </c>
      <c r="M235" s="8">
        <v>0</v>
      </c>
      <c r="N235" s="8">
        <v>5864734.7199999997</v>
      </c>
      <c r="O235" s="8">
        <v>0</v>
      </c>
      <c r="P235" s="8">
        <v>0</v>
      </c>
      <c r="Q235" s="8">
        <v>0</v>
      </c>
      <c r="R235" s="133">
        <v>2027</v>
      </c>
      <c r="S235" s="133">
        <v>2027</v>
      </c>
    </row>
    <row r="236" spans="1:19" ht="18.75" customHeight="1">
      <c r="A236" s="76">
        <v>32</v>
      </c>
      <c r="B236" s="121" t="s">
        <v>182</v>
      </c>
      <c r="C236" s="95">
        <v>1976</v>
      </c>
      <c r="D236" s="76" t="s">
        <v>75</v>
      </c>
      <c r="E236" s="95">
        <v>4</v>
      </c>
      <c r="F236" s="95">
        <v>4</v>
      </c>
      <c r="G236" s="8">
        <v>2553.5</v>
      </c>
      <c r="H236" s="8">
        <v>2553.5</v>
      </c>
      <c r="I236" s="8">
        <v>2371.5</v>
      </c>
      <c r="J236" s="133">
        <v>118</v>
      </c>
      <c r="K236" s="8">
        <f>L236+M236+N236+O236+P236+Q236</f>
        <v>7732356.6699999999</v>
      </c>
      <c r="L236" s="8">
        <v>0</v>
      </c>
      <c r="M236" s="8">
        <v>0</v>
      </c>
      <c r="N236" s="8">
        <v>7732356.6699999999</v>
      </c>
      <c r="O236" s="8">
        <v>0</v>
      </c>
      <c r="P236" s="8">
        <v>0</v>
      </c>
      <c r="Q236" s="8">
        <v>0</v>
      </c>
      <c r="R236" s="133">
        <v>2027</v>
      </c>
      <c r="S236" s="133">
        <v>2027</v>
      </c>
    </row>
    <row r="237" spans="1:19" ht="33.75" customHeight="1">
      <c r="A237" s="158" t="s">
        <v>270</v>
      </c>
      <c r="B237" s="159"/>
      <c r="C237" s="159"/>
      <c r="D237" s="159"/>
      <c r="E237" s="159"/>
      <c r="F237" s="160"/>
      <c r="G237" s="3">
        <f>G238</f>
        <v>990</v>
      </c>
      <c r="H237" s="3">
        <f t="shared" ref="H237:Q237" si="59">H238</f>
        <v>990</v>
      </c>
      <c r="I237" s="3">
        <f t="shared" si="59"/>
        <v>895.9</v>
      </c>
      <c r="J237" s="66">
        <f t="shared" si="59"/>
        <v>29</v>
      </c>
      <c r="K237" s="8">
        <f t="shared" si="59"/>
        <v>11436232.699999999</v>
      </c>
      <c r="L237" s="3">
        <f t="shared" si="59"/>
        <v>0</v>
      </c>
      <c r="M237" s="3">
        <f t="shared" si="59"/>
        <v>0</v>
      </c>
      <c r="N237" s="63">
        <f t="shared" si="59"/>
        <v>11436232.699999999</v>
      </c>
      <c r="O237" s="3">
        <f t="shared" si="59"/>
        <v>0</v>
      </c>
      <c r="P237" s="3">
        <f t="shared" si="59"/>
        <v>0</v>
      </c>
      <c r="Q237" s="3">
        <f t="shared" si="59"/>
        <v>0</v>
      </c>
      <c r="R237" s="133" t="s">
        <v>52</v>
      </c>
      <c r="S237" s="133" t="s">
        <v>52</v>
      </c>
    </row>
    <row r="238" spans="1:19" ht="18.75" customHeight="1">
      <c r="A238" s="76">
        <v>33</v>
      </c>
      <c r="B238" s="14" t="s">
        <v>719</v>
      </c>
      <c r="C238" s="83">
        <v>1972</v>
      </c>
      <c r="D238" s="76" t="s">
        <v>75</v>
      </c>
      <c r="E238" s="64">
        <v>2</v>
      </c>
      <c r="F238" s="64">
        <v>3</v>
      </c>
      <c r="G238" s="3">
        <v>990</v>
      </c>
      <c r="H238" s="3">
        <v>990</v>
      </c>
      <c r="I238" s="3">
        <v>895.9</v>
      </c>
      <c r="J238" s="133">
        <v>29</v>
      </c>
      <c r="K238" s="1">
        <v>11436232.699999999</v>
      </c>
      <c r="L238" s="1">
        <v>0</v>
      </c>
      <c r="M238" s="1">
        <v>0</v>
      </c>
      <c r="N238" s="1">
        <v>11436232.699999999</v>
      </c>
      <c r="O238" s="1">
        <v>0</v>
      </c>
      <c r="P238" s="1">
        <v>0</v>
      </c>
      <c r="Q238" s="1">
        <v>0</v>
      </c>
      <c r="R238" s="128">
        <v>2027</v>
      </c>
      <c r="S238" s="128">
        <v>2027</v>
      </c>
    </row>
    <row r="239" spans="1:19" ht="38.25" customHeight="1">
      <c r="A239" s="158" t="s">
        <v>161</v>
      </c>
      <c r="B239" s="159"/>
      <c r="C239" s="159"/>
      <c r="D239" s="159"/>
      <c r="E239" s="159"/>
      <c r="F239" s="160"/>
      <c r="G239" s="8">
        <f>G240+G241+G242+G243</f>
        <v>2747</v>
      </c>
      <c r="H239" s="8">
        <f t="shared" ref="H239:Q239" si="60">H240+H241+H242+H243</f>
        <v>2657</v>
      </c>
      <c r="I239" s="8">
        <f t="shared" si="60"/>
        <v>2348.3000000000002</v>
      </c>
      <c r="J239" s="66">
        <f t="shared" si="60"/>
        <v>81</v>
      </c>
      <c r="K239" s="8">
        <f t="shared" si="60"/>
        <v>23425815.809999999</v>
      </c>
      <c r="L239" s="2">
        <f t="shared" si="60"/>
        <v>0</v>
      </c>
      <c r="M239" s="2">
        <f t="shared" si="60"/>
        <v>0</v>
      </c>
      <c r="N239" s="63">
        <f t="shared" si="60"/>
        <v>23425815.809999999</v>
      </c>
      <c r="O239" s="2">
        <f t="shared" si="60"/>
        <v>0</v>
      </c>
      <c r="P239" s="2">
        <f t="shared" si="60"/>
        <v>0</v>
      </c>
      <c r="Q239" s="2">
        <f t="shared" si="60"/>
        <v>0</v>
      </c>
      <c r="R239" s="133" t="s">
        <v>52</v>
      </c>
      <c r="S239" s="133" t="s">
        <v>52</v>
      </c>
    </row>
    <row r="240" spans="1:19" ht="18.75" customHeight="1">
      <c r="A240" s="76">
        <v>34</v>
      </c>
      <c r="B240" s="9" t="s">
        <v>166</v>
      </c>
      <c r="C240" s="95">
        <v>1985</v>
      </c>
      <c r="D240" s="76" t="s">
        <v>75</v>
      </c>
      <c r="E240" s="95">
        <v>3</v>
      </c>
      <c r="F240" s="95">
        <v>1</v>
      </c>
      <c r="G240" s="3">
        <v>459</v>
      </c>
      <c r="H240" s="3">
        <v>459</v>
      </c>
      <c r="I240" s="3">
        <v>275.39999999999998</v>
      </c>
      <c r="J240" s="133">
        <v>13</v>
      </c>
      <c r="K240" s="1">
        <f>L240+M240+N240+O240+P240+Q240</f>
        <v>4838406.1399999997</v>
      </c>
      <c r="L240" s="8">
        <v>0</v>
      </c>
      <c r="M240" s="8">
        <v>0</v>
      </c>
      <c r="N240" s="8">
        <v>4838406.1399999997</v>
      </c>
      <c r="O240" s="1">
        <v>0</v>
      </c>
      <c r="P240" s="82">
        <v>0</v>
      </c>
      <c r="Q240" s="82">
        <v>0</v>
      </c>
      <c r="R240" s="133">
        <v>2027</v>
      </c>
      <c r="S240" s="133">
        <v>2027</v>
      </c>
    </row>
    <row r="241" spans="1:19" ht="18.75" customHeight="1">
      <c r="A241" s="76">
        <v>35</v>
      </c>
      <c r="B241" s="9" t="s">
        <v>167</v>
      </c>
      <c r="C241" s="95">
        <v>1987</v>
      </c>
      <c r="D241" s="76" t="s">
        <v>75</v>
      </c>
      <c r="E241" s="95">
        <v>3</v>
      </c>
      <c r="F241" s="95">
        <v>3</v>
      </c>
      <c r="G241" s="8">
        <v>1490</v>
      </c>
      <c r="H241" s="8">
        <v>1490</v>
      </c>
      <c r="I241" s="8">
        <v>1364.9</v>
      </c>
      <c r="J241" s="133">
        <v>38</v>
      </c>
      <c r="K241" s="1">
        <f t="shared" ref="K241:K243" si="61">L241+M241+N241+O241+P241+Q241</f>
        <v>8621759.1999999993</v>
      </c>
      <c r="L241" s="8">
        <v>0</v>
      </c>
      <c r="M241" s="8">
        <v>0</v>
      </c>
      <c r="N241" s="8">
        <v>8621759.1999999993</v>
      </c>
      <c r="O241" s="1">
        <v>0</v>
      </c>
      <c r="P241" s="82">
        <v>0</v>
      </c>
      <c r="Q241" s="82">
        <v>0</v>
      </c>
      <c r="R241" s="133">
        <v>2027</v>
      </c>
      <c r="S241" s="133">
        <v>2027</v>
      </c>
    </row>
    <row r="242" spans="1:19" ht="18.75" customHeight="1">
      <c r="A242" s="76">
        <v>36</v>
      </c>
      <c r="B242" s="9" t="s">
        <v>336</v>
      </c>
      <c r="C242" s="95" t="s">
        <v>163</v>
      </c>
      <c r="D242" s="76" t="s">
        <v>75</v>
      </c>
      <c r="E242" s="95">
        <v>2</v>
      </c>
      <c r="F242" s="95">
        <v>3</v>
      </c>
      <c r="G242" s="3">
        <v>216</v>
      </c>
      <c r="H242" s="3">
        <v>166.4</v>
      </c>
      <c r="I242" s="3">
        <v>166.4</v>
      </c>
      <c r="J242" s="133">
        <v>5</v>
      </c>
      <c r="K242" s="1">
        <f t="shared" si="61"/>
        <v>2507174.09</v>
      </c>
      <c r="L242" s="8">
        <v>0</v>
      </c>
      <c r="M242" s="8">
        <v>0</v>
      </c>
      <c r="N242" s="8">
        <v>2507174.09</v>
      </c>
      <c r="O242" s="1">
        <v>0</v>
      </c>
      <c r="P242" s="82">
        <v>0</v>
      </c>
      <c r="Q242" s="82">
        <v>0</v>
      </c>
      <c r="R242" s="133">
        <v>2027</v>
      </c>
      <c r="S242" s="133">
        <v>2027</v>
      </c>
    </row>
    <row r="243" spans="1:19" ht="18.75" customHeight="1">
      <c r="A243" s="76">
        <v>37</v>
      </c>
      <c r="B243" s="9" t="s">
        <v>168</v>
      </c>
      <c r="C243" s="95">
        <v>1955</v>
      </c>
      <c r="D243" s="76" t="s">
        <v>75</v>
      </c>
      <c r="E243" s="95">
        <v>2</v>
      </c>
      <c r="F243" s="95">
        <v>2</v>
      </c>
      <c r="G243" s="3">
        <v>582</v>
      </c>
      <c r="H243" s="3">
        <v>541.6</v>
      </c>
      <c r="I243" s="3">
        <v>541.6</v>
      </c>
      <c r="J243" s="133">
        <v>25</v>
      </c>
      <c r="K243" s="1">
        <f t="shared" si="61"/>
        <v>7458476.3799999999</v>
      </c>
      <c r="L243" s="8">
        <v>0</v>
      </c>
      <c r="M243" s="8">
        <v>0</v>
      </c>
      <c r="N243" s="8">
        <v>7458476.3799999999</v>
      </c>
      <c r="O243" s="1">
        <v>0</v>
      </c>
      <c r="P243" s="82">
        <v>0</v>
      </c>
      <c r="Q243" s="82">
        <v>0</v>
      </c>
      <c r="R243" s="133">
        <v>2027</v>
      </c>
      <c r="S243" s="133">
        <v>2027</v>
      </c>
    </row>
    <row r="244" spans="1:19" ht="30.75" customHeight="1">
      <c r="A244" s="158" t="s">
        <v>143</v>
      </c>
      <c r="B244" s="159"/>
      <c r="C244" s="159"/>
      <c r="D244" s="159"/>
      <c r="E244" s="159"/>
      <c r="F244" s="160"/>
      <c r="G244" s="8">
        <f>G245</f>
        <v>4082.7</v>
      </c>
      <c r="H244" s="8">
        <f t="shared" ref="H244:Q244" si="62">H245</f>
        <v>3235.4</v>
      </c>
      <c r="I244" s="8">
        <f t="shared" si="62"/>
        <v>3168.5</v>
      </c>
      <c r="J244" s="13">
        <f t="shared" si="62"/>
        <v>111</v>
      </c>
      <c r="K244" s="8">
        <f t="shared" si="62"/>
        <v>11975759</v>
      </c>
      <c r="L244" s="3">
        <f t="shared" si="62"/>
        <v>0</v>
      </c>
      <c r="M244" s="3">
        <f t="shared" si="62"/>
        <v>0</v>
      </c>
      <c r="N244" s="63">
        <f t="shared" si="62"/>
        <v>11975759</v>
      </c>
      <c r="O244" s="3">
        <f t="shared" si="62"/>
        <v>0</v>
      </c>
      <c r="P244" s="3">
        <f t="shared" si="62"/>
        <v>0</v>
      </c>
      <c r="Q244" s="3">
        <f t="shared" si="62"/>
        <v>0</v>
      </c>
      <c r="R244" s="133" t="s">
        <v>52</v>
      </c>
      <c r="S244" s="133" t="s">
        <v>52</v>
      </c>
    </row>
    <row r="245" spans="1:19" ht="18.75" customHeight="1">
      <c r="A245" s="76">
        <v>38</v>
      </c>
      <c r="B245" s="121" t="s">
        <v>144</v>
      </c>
      <c r="C245" s="95">
        <v>1966</v>
      </c>
      <c r="D245" s="76" t="s">
        <v>75</v>
      </c>
      <c r="E245" s="95">
        <v>5</v>
      </c>
      <c r="F245" s="95">
        <v>4</v>
      </c>
      <c r="G245" s="8">
        <v>4082.7</v>
      </c>
      <c r="H245" s="8">
        <v>3235.4</v>
      </c>
      <c r="I245" s="8">
        <v>3168.5</v>
      </c>
      <c r="J245" s="133">
        <v>111</v>
      </c>
      <c r="K245" s="1">
        <v>11975759</v>
      </c>
      <c r="L245" s="8">
        <v>0</v>
      </c>
      <c r="M245" s="8">
        <v>0</v>
      </c>
      <c r="N245" s="1">
        <v>11975759</v>
      </c>
      <c r="O245" s="8">
        <v>0</v>
      </c>
      <c r="P245" s="8">
        <v>0</v>
      </c>
      <c r="Q245" s="8">
        <v>0</v>
      </c>
      <c r="R245" s="133">
        <v>2027</v>
      </c>
      <c r="S245" s="133">
        <v>2027</v>
      </c>
    </row>
    <row r="246" spans="1:19" ht="44.25" customHeight="1">
      <c r="A246" s="158" t="s">
        <v>233</v>
      </c>
      <c r="B246" s="159"/>
      <c r="C246" s="159"/>
      <c r="D246" s="159"/>
      <c r="E246" s="159"/>
      <c r="F246" s="160"/>
      <c r="G246" s="8">
        <f>SUM(G247:G258)</f>
        <v>45616.800000000003</v>
      </c>
      <c r="H246" s="8">
        <f t="shared" ref="H246:Q246" si="63">SUM(H247:H258)</f>
        <v>39244.899999999994</v>
      </c>
      <c r="I246" s="8">
        <f t="shared" si="63"/>
        <v>39030.299999999996</v>
      </c>
      <c r="J246" s="13">
        <f t="shared" si="63"/>
        <v>1640</v>
      </c>
      <c r="K246" s="8">
        <f t="shared" si="63"/>
        <v>140589329.50000003</v>
      </c>
      <c r="L246" s="3">
        <f t="shared" si="63"/>
        <v>0</v>
      </c>
      <c r="M246" s="3">
        <f t="shared" si="63"/>
        <v>0</v>
      </c>
      <c r="N246" s="63">
        <f t="shared" si="63"/>
        <v>140589329.50000003</v>
      </c>
      <c r="O246" s="3">
        <f t="shared" si="63"/>
        <v>0</v>
      </c>
      <c r="P246" s="3">
        <f t="shared" si="63"/>
        <v>0</v>
      </c>
      <c r="Q246" s="3">
        <f t="shared" si="63"/>
        <v>0</v>
      </c>
      <c r="R246" s="133" t="s">
        <v>52</v>
      </c>
      <c r="S246" s="133" t="s">
        <v>52</v>
      </c>
    </row>
    <row r="247" spans="1:19" ht="18.75" customHeight="1">
      <c r="A247" s="76">
        <v>39</v>
      </c>
      <c r="B247" s="9" t="s">
        <v>244</v>
      </c>
      <c r="C247" s="76">
        <v>1963</v>
      </c>
      <c r="D247" s="76" t="s">
        <v>77</v>
      </c>
      <c r="E247" s="76">
        <v>5</v>
      </c>
      <c r="F247" s="76">
        <v>4</v>
      </c>
      <c r="G247" s="1">
        <v>3426.6</v>
      </c>
      <c r="H247" s="1">
        <v>3426.6</v>
      </c>
      <c r="I247" s="1">
        <v>3310.1</v>
      </c>
      <c r="J247" s="15">
        <v>126</v>
      </c>
      <c r="K247" s="1">
        <v>9620068.1600000001</v>
      </c>
      <c r="L247" s="1">
        <v>0</v>
      </c>
      <c r="M247" s="1">
        <v>0</v>
      </c>
      <c r="N247" s="1">
        <v>9620068.1600000001</v>
      </c>
      <c r="O247" s="1">
        <v>0</v>
      </c>
      <c r="P247" s="1">
        <v>0</v>
      </c>
      <c r="Q247" s="1">
        <v>0</v>
      </c>
      <c r="R247" s="128">
        <v>2027</v>
      </c>
      <c r="S247" s="128">
        <v>2027</v>
      </c>
    </row>
    <row r="248" spans="1:19" ht="18.75" customHeight="1">
      <c r="A248" s="76">
        <v>40</v>
      </c>
      <c r="B248" s="20" t="s">
        <v>493</v>
      </c>
      <c r="C248" s="76">
        <v>1975</v>
      </c>
      <c r="D248" s="76" t="s">
        <v>75</v>
      </c>
      <c r="E248" s="76">
        <v>2</v>
      </c>
      <c r="F248" s="76">
        <v>2</v>
      </c>
      <c r="G248" s="1">
        <v>657.2</v>
      </c>
      <c r="H248" s="1">
        <v>657.2</v>
      </c>
      <c r="I248" s="1">
        <v>600.4</v>
      </c>
      <c r="J248" s="15">
        <v>18</v>
      </c>
      <c r="K248" s="1">
        <v>5894597.5300000003</v>
      </c>
      <c r="L248" s="1">
        <v>0</v>
      </c>
      <c r="M248" s="1">
        <v>0</v>
      </c>
      <c r="N248" s="1">
        <v>5894597.5300000003</v>
      </c>
      <c r="O248" s="1">
        <v>0</v>
      </c>
      <c r="P248" s="1">
        <v>0</v>
      </c>
      <c r="Q248" s="1">
        <v>0</v>
      </c>
      <c r="R248" s="128">
        <v>2027</v>
      </c>
      <c r="S248" s="128">
        <v>2027</v>
      </c>
    </row>
    <row r="249" spans="1:19" ht="18.75" customHeight="1">
      <c r="A249" s="76">
        <v>41</v>
      </c>
      <c r="B249" s="9" t="s">
        <v>494</v>
      </c>
      <c r="C249" s="76">
        <v>1975</v>
      </c>
      <c r="D249" s="76" t="s">
        <v>75</v>
      </c>
      <c r="E249" s="76">
        <v>5</v>
      </c>
      <c r="F249" s="76">
        <v>6</v>
      </c>
      <c r="G249" s="1">
        <v>5226</v>
      </c>
      <c r="H249" s="1">
        <v>4806.2</v>
      </c>
      <c r="I249" s="1">
        <v>4806.2</v>
      </c>
      <c r="J249" s="15">
        <v>168</v>
      </c>
      <c r="K249" s="1">
        <v>12451635.390000001</v>
      </c>
      <c r="L249" s="1">
        <v>0</v>
      </c>
      <c r="M249" s="1">
        <v>0</v>
      </c>
      <c r="N249" s="1">
        <v>12451635.390000001</v>
      </c>
      <c r="O249" s="1">
        <v>0</v>
      </c>
      <c r="P249" s="1">
        <v>0</v>
      </c>
      <c r="Q249" s="1">
        <v>0</v>
      </c>
      <c r="R249" s="128">
        <v>2027</v>
      </c>
      <c r="S249" s="128">
        <v>2027</v>
      </c>
    </row>
    <row r="250" spans="1:19" ht="18.75" customHeight="1">
      <c r="A250" s="76">
        <v>42</v>
      </c>
      <c r="B250" s="9" t="s">
        <v>495</v>
      </c>
      <c r="C250" s="76">
        <v>1966</v>
      </c>
      <c r="D250" s="76" t="s">
        <v>77</v>
      </c>
      <c r="E250" s="76">
        <v>5</v>
      </c>
      <c r="F250" s="76">
        <v>3</v>
      </c>
      <c r="G250" s="1">
        <v>2795.5</v>
      </c>
      <c r="H250" s="1">
        <v>2585.5</v>
      </c>
      <c r="I250" s="1">
        <v>2585.5</v>
      </c>
      <c r="J250" s="15">
        <v>102</v>
      </c>
      <c r="K250" s="1">
        <v>6743123.25</v>
      </c>
      <c r="L250" s="1">
        <v>0</v>
      </c>
      <c r="M250" s="1">
        <v>0</v>
      </c>
      <c r="N250" s="1">
        <v>6743123.25</v>
      </c>
      <c r="O250" s="1">
        <v>0</v>
      </c>
      <c r="P250" s="1">
        <v>0</v>
      </c>
      <c r="Q250" s="1">
        <v>0</v>
      </c>
      <c r="R250" s="128">
        <v>2027</v>
      </c>
      <c r="S250" s="128">
        <v>2027</v>
      </c>
    </row>
    <row r="251" spans="1:19" ht="18.75" customHeight="1">
      <c r="A251" s="76">
        <v>43</v>
      </c>
      <c r="B251" s="9" t="s">
        <v>496</v>
      </c>
      <c r="C251" s="76">
        <v>1967</v>
      </c>
      <c r="D251" s="76" t="s">
        <v>77</v>
      </c>
      <c r="E251" s="76">
        <v>5</v>
      </c>
      <c r="F251" s="76">
        <v>4</v>
      </c>
      <c r="G251" s="1">
        <v>2992</v>
      </c>
      <c r="H251" s="1">
        <v>2711.5</v>
      </c>
      <c r="I251" s="1">
        <v>2711.5</v>
      </c>
      <c r="J251" s="15">
        <v>95</v>
      </c>
      <c r="K251" s="1">
        <v>7087993.6200000001</v>
      </c>
      <c r="L251" s="1">
        <v>0</v>
      </c>
      <c r="M251" s="1">
        <v>0</v>
      </c>
      <c r="N251" s="1">
        <v>7087993.6200000001</v>
      </c>
      <c r="O251" s="1">
        <v>0</v>
      </c>
      <c r="P251" s="1">
        <v>0</v>
      </c>
      <c r="Q251" s="1">
        <v>0</v>
      </c>
      <c r="R251" s="128">
        <v>2027</v>
      </c>
      <c r="S251" s="128">
        <v>2027</v>
      </c>
    </row>
    <row r="252" spans="1:19" ht="18.75" customHeight="1">
      <c r="A252" s="76">
        <v>44</v>
      </c>
      <c r="B252" s="9" t="s">
        <v>245</v>
      </c>
      <c r="C252" s="76">
        <v>1967</v>
      </c>
      <c r="D252" s="76" t="s">
        <v>77</v>
      </c>
      <c r="E252" s="76">
        <v>2</v>
      </c>
      <c r="F252" s="76">
        <v>3</v>
      </c>
      <c r="G252" s="1">
        <v>717.4</v>
      </c>
      <c r="H252" s="1">
        <v>444.2</v>
      </c>
      <c r="I252" s="1">
        <v>444.2</v>
      </c>
      <c r="J252" s="15">
        <v>27</v>
      </c>
      <c r="K252" s="1">
        <v>4773731.9400000004</v>
      </c>
      <c r="L252" s="1">
        <v>0</v>
      </c>
      <c r="M252" s="1">
        <v>0</v>
      </c>
      <c r="N252" s="1">
        <v>4773731.9400000004</v>
      </c>
      <c r="O252" s="1">
        <v>0</v>
      </c>
      <c r="P252" s="1">
        <v>0</v>
      </c>
      <c r="Q252" s="1">
        <v>0</v>
      </c>
      <c r="R252" s="128">
        <v>2027</v>
      </c>
      <c r="S252" s="128">
        <v>2027</v>
      </c>
    </row>
    <row r="253" spans="1:19" ht="18.75" customHeight="1">
      <c r="A253" s="76">
        <v>45</v>
      </c>
      <c r="B253" s="9" t="s">
        <v>583</v>
      </c>
      <c r="C253" s="76">
        <v>1965</v>
      </c>
      <c r="D253" s="76" t="s">
        <v>77</v>
      </c>
      <c r="E253" s="76">
        <v>5</v>
      </c>
      <c r="F253" s="76">
        <v>4</v>
      </c>
      <c r="G253" s="1">
        <v>3456.8</v>
      </c>
      <c r="H253" s="1">
        <v>3456.8</v>
      </c>
      <c r="I253" s="1">
        <v>3415.5</v>
      </c>
      <c r="J253" s="15">
        <v>130</v>
      </c>
      <c r="K253" s="1">
        <v>38788218.890000001</v>
      </c>
      <c r="L253" s="1">
        <v>0</v>
      </c>
      <c r="M253" s="1">
        <v>0</v>
      </c>
      <c r="N253" s="1">
        <v>38788218.890000001</v>
      </c>
      <c r="O253" s="1">
        <v>0</v>
      </c>
      <c r="P253" s="1">
        <v>0</v>
      </c>
      <c r="Q253" s="1">
        <v>0</v>
      </c>
      <c r="R253" s="128">
        <v>2027</v>
      </c>
      <c r="S253" s="128">
        <v>2027</v>
      </c>
    </row>
    <row r="254" spans="1:19" ht="18.75" customHeight="1">
      <c r="A254" s="76">
        <v>46</v>
      </c>
      <c r="B254" s="9" t="s">
        <v>246</v>
      </c>
      <c r="C254" s="76">
        <v>1977</v>
      </c>
      <c r="D254" s="76" t="s">
        <v>77</v>
      </c>
      <c r="E254" s="76">
        <v>5</v>
      </c>
      <c r="F254" s="76">
        <v>8</v>
      </c>
      <c r="G254" s="1">
        <v>4444.5</v>
      </c>
      <c r="H254" s="1">
        <v>3966.5</v>
      </c>
      <c r="I254" s="1">
        <v>3966.5</v>
      </c>
      <c r="J254" s="15">
        <v>270</v>
      </c>
      <c r="K254" s="1">
        <v>9209853.9299999997</v>
      </c>
      <c r="L254" s="1">
        <v>0</v>
      </c>
      <c r="M254" s="1">
        <v>0</v>
      </c>
      <c r="N254" s="1">
        <v>9209853.9299999997</v>
      </c>
      <c r="O254" s="1">
        <v>0</v>
      </c>
      <c r="P254" s="1">
        <v>0</v>
      </c>
      <c r="Q254" s="1">
        <v>0</v>
      </c>
      <c r="R254" s="128">
        <v>2027</v>
      </c>
      <c r="S254" s="128">
        <v>2027</v>
      </c>
    </row>
    <row r="255" spans="1:19" ht="18.75" customHeight="1">
      <c r="A255" s="76">
        <v>47</v>
      </c>
      <c r="B255" s="9" t="s">
        <v>247</v>
      </c>
      <c r="C255" s="76">
        <v>1971</v>
      </c>
      <c r="D255" s="76" t="s">
        <v>75</v>
      </c>
      <c r="E255" s="76">
        <v>5</v>
      </c>
      <c r="F255" s="76">
        <v>4</v>
      </c>
      <c r="G255" s="1">
        <v>3634.7</v>
      </c>
      <c r="H255" s="1">
        <v>2614.1</v>
      </c>
      <c r="I255" s="1">
        <v>2614.1</v>
      </c>
      <c r="J255" s="15">
        <v>82</v>
      </c>
      <c r="K255" s="1">
        <v>12291271.550000001</v>
      </c>
      <c r="L255" s="1">
        <v>0</v>
      </c>
      <c r="M255" s="1">
        <v>0</v>
      </c>
      <c r="N255" s="1">
        <v>12291271.550000001</v>
      </c>
      <c r="O255" s="1">
        <v>0</v>
      </c>
      <c r="P255" s="1">
        <v>0</v>
      </c>
      <c r="Q255" s="1">
        <v>0</v>
      </c>
      <c r="R255" s="128">
        <v>2027</v>
      </c>
      <c r="S255" s="128">
        <v>2027</v>
      </c>
    </row>
    <row r="256" spans="1:19" ht="18.75" customHeight="1">
      <c r="A256" s="76">
        <v>48</v>
      </c>
      <c r="B256" s="22" t="s">
        <v>584</v>
      </c>
      <c r="C256" s="76">
        <v>1988</v>
      </c>
      <c r="D256" s="76" t="s">
        <v>77</v>
      </c>
      <c r="E256" s="76">
        <v>9</v>
      </c>
      <c r="F256" s="76">
        <v>2</v>
      </c>
      <c r="G256" s="1">
        <v>3741.3</v>
      </c>
      <c r="H256" s="1">
        <v>2240.1</v>
      </c>
      <c r="I256" s="1">
        <v>2240.1</v>
      </c>
      <c r="J256" s="15">
        <v>220</v>
      </c>
      <c r="K256" s="1">
        <v>6774887.6200000001</v>
      </c>
      <c r="L256" s="1">
        <v>0</v>
      </c>
      <c r="M256" s="1">
        <v>0</v>
      </c>
      <c r="N256" s="1">
        <v>6774887.6200000001</v>
      </c>
      <c r="O256" s="1">
        <v>0</v>
      </c>
      <c r="P256" s="1">
        <v>0</v>
      </c>
      <c r="Q256" s="1">
        <v>0</v>
      </c>
      <c r="R256" s="128">
        <v>2027</v>
      </c>
      <c r="S256" s="128">
        <v>2027</v>
      </c>
    </row>
    <row r="257" spans="1:19" ht="18.75" customHeight="1">
      <c r="A257" s="76">
        <v>49</v>
      </c>
      <c r="B257" s="21" t="s">
        <v>248</v>
      </c>
      <c r="C257" s="76">
        <v>1990</v>
      </c>
      <c r="D257" s="76" t="s">
        <v>77</v>
      </c>
      <c r="E257" s="76">
        <v>9</v>
      </c>
      <c r="F257" s="76">
        <v>3</v>
      </c>
      <c r="G257" s="1">
        <v>7717.9</v>
      </c>
      <c r="H257" s="1">
        <v>5529.3</v>
      </c>
      <c r="I257" s="1">
        <v>5529.3</v>
      </c>
      <c r="J257" s="15">
        <v>236</v>
      </c>
      <c r="K257" s="1">
        <v>8577289.0700000003</v>
      </c>
      <c r="L257" s="1">
        <v>0</v>
      </c>
      <c r="M257" s="1">
        <v>0</v>
      </c>
      <c r="N257" s="1">
        <v>8577289.0700000003</v>
      </c>
      <c r="O257" s="1">
        <v>0</v>
      </c>
      <c r="P257" s="1">
        <v>0</v>
      </c>
      <c r="Q257" s="1">
        <v>0</v>
      </c>
      <c r="R257" s="128">
        <v>2027</v>
      </c>
      <c r="S257" s="128">
        <v>2027</v>
      </c>
    </row>
    <row r="258" spans="1:19" ht="18.75" customHeight="1">
      <c r="A258" s="76">
        <v>50</v>
      </c>
      <c r="B258" s="21" t="s">
        <v>249</v>
      </c>
      <c r="C258" s="76">
        <v>2000</v>
      </c>
      <c r="D258" s="76" t="s">
        <v>77</v>
      </c>
      <c r="E258" s="76">
        <v>9</v>
      </c>
      <c r="F258" s="76">
        <v>3</v>
      </c>
      <c r="G258" s="1">
        <v>6806.9</v>
      </c>
      <c r="H258" s="1">
        <v>6806.9</v>
      </c>
      <c r="I258" s="1">
        <v>6806.9</v>
      </c>
      <c r="J258" s="15">
        <v>166</v>
      </c>
      <c r="K258" s="1">
        <v>18376658.550000001</v>
      </c>
      <c r="L258" s="1">
        <v>0</v>
      </c>
      <c r="M258" s="1">
        <v>0</v>
      </c>
      <c r="N258" s="1">
        <v>18376658.550000001</v>
      </c>
      <c r="O258" s="1">
        <v>0</v>
      </c>
      <c r="P258" s="1">
        <v>0</v>
      </c>
      <c r="Q258" s="1">
        <v>0</v>
      </c>
      <c r="R258" s="128">
        <v>2027</v>
      </c>
      <c r="S258" s="128">
        <v>2027</v>
      </c>
    </row>
    <row r="259" spans="1:19" ht="33.75" customHeight="1">
      <c r="A259" s="158" t="s">
        <v>154</v>
      </c>
      <c r="B259" s="159"/>
      <c r="C259" s="159"/>
      <c r="D259" s="159"/>
      <c r="E259" s="159"/>
      <c r="F259" s="160"/>
      <c r="G259" s="8">
        <f>G260</f>
        <v>4022.9</v>
      </c>
      <c r="H259" s="8">
        <f t="shared" ref="H259:N259" si="64">H260</f>
        <v>4022.9</v>
      </c>
      <c r="I259" s="8">
        <f t="shared" si="64"/>
        <v>3899.8</v>
      </c>
      <c r="J259" s="13">
        <f t="shared" si="64"/>
        <v>134</v>
      </c>
      <c r="K259" s="8">
        <f t="shared" si="64"/>
        <v>21816813.16</v>
      </c>
      <c r="L259" s="3">
        <f>L260</f>
        <v>0</v>
      </c>
      <c r="M259" s="3">
        <f>M260</f>
        <v>0</v>
      </c>
      <c r="N259" s="63">
        <f t="shared" si="64"/>
        <v>21816813.16</v>
      </c>
      <c r="O259" s="3">
        <f>O260</f>
        <v>0</v>
      </c>
      <c r="P259" s="3">
        <f>P260</f>
        <v>0</v>
      </c>
      <c r="Q259" s="3">
        <f>Q260</f>
        <v>0</v>
      </c>
      <c r="R259" s="133" t="s">
        <v>52</v>
      </c>
      <c r="S259" s="133" t="s">
        <v>52</v>
      </c>
    </row>
    <row r="260" spans="1:19" ht="18.75" customHeight="1">
      <c r="A260" s="76">
        <v>51</v>
      </c>
      <c r="B260" s="121" t="s">
        <v>585</v>
      </c>
      <c r="C260" s="95">
        <v>1963</v>
      </c>
      <c r="D260" s="76" t="s">
        <v>75</v>
      </c>
      <c r="E260" s="95">
        <v>5</v>
      </c>
      <c r="F260" s="95">
        <v>5</v>
      </c>
      <c r="G260" s="8">
        <v>4022.9</v>
      </c>
      <c r="H260" s="8">
        <v>4022.9</v>
      </c>
      <c r="I260" s="8">
        <v>3899.8</v>
      </c>
      <c r="J260" s="133">
        <v>134</v>
      </c>
      <c r="K260" s="1">
        <v>21816813.16</v>
      </c>
      <c r="L260" s="8">
        <v>0</v>
      </c>
      <c r="M260" s="8">
        <v>0</v>
      </c>
      <c r="N260" s="1">
        <v>21816813.16</v>
      </c>
      <c r="O260" s="8">
        <v>0</v>
      </c>
      <c r="P260" s="8">
        <v>0</v>
      </c>
      <c r="Q260" s="8">
        <v>0</v>
      </c>
      <c r="R260" s="133">
        <v>2027</v>
      </c>
      <c r="S260" s="133">
        <v>2027</v>
      </c>
    </row>
    <row r="261" spans="1:19" ht="38.25" customHeight="1">
      <c r="A261" s="158" t="s">
        <v>97</v>
      </c>
      <c r="B261" s="159"/>
      <c r="C261" s="159"/>
      <c r="D261" s="159"/>
      <c r="E261" s="159"/>
      <c r="F261" s="160"/>
      <c r="G261" s="8">
        <f>SUM(G262:G264)</f>
        <v>5272.7</v>
      </c>
      <c r="H261" s="8">
        <f t="shared" ref="H261:N261" si="65">SUM(H262:H264)</f>
        <v>5102.8999999999996</v>
      </c>
      <c r="I261" s="8">
        <f t="shared" si="65"/>
        <v>4813.8999999999996</v>
      </c>
      <c r="J261" s="13">
        <f t="shared" si="65"/>
        <v>207</v>
      </c>
      <c r="K261" s="8">
        <f t="shared" si="65"/>
        <v>19578516.690000001</v>
      </c>
      <c r="L261" s="2">
        <v>0</v>
      </c>
      <c r="M261" s="2">
        <v>0</v>
      </c>
      <c r="N261" s="63">
        <f t="shared" si="65"/>
        <v>19578516.690000001</v>
      </c>
      <c r="O261" s="2">
        <v>0</v>
      </c>
      <c r="P261" s="2">
        <v>0</v>
      </c>
      <c r="Q261" s="2">
        <v>0</v>
      </c>
      <c r="R261" s="133" t="s">
        <v>52</v>
      </c>
      <c r="S261" s="133" t="s">
        <v>52</v>
      </c>
    </row>
    <row r="262" spans="1:19" ht="18.75" customHeight="1">
      <c r="A262" s="76">
        <v>52</v>
      </c>
      <c r="B262" s="121" t="s">
        <v>98</v>
      </c>
      <c r="C262" s="95">
        <v>1987</v>
      </c>
      <c r="D262" s="76" t="s">
        <v>77</v>
      </c>
      <c r="E262" s="95">
        <v>3</v>
      </c>
      <c r="F262" s="95">
        <v>3</v>
      </c>
      <c r="G262" s="1">
        <v>1484.3</v>
      </c>
      <c r="H262" s="1">
        <v>1359.3</v>
      </c>
      <c r="I262" s="1">
        <v>1359.3</v>
      </c>
      <c r="J262" s="133">
        <v>73</v>
      </c>
      <c r="K262" s="1">
        <f>L262+M262+N262+O262+P262+Q262</f>
        <v>4843225.32</v>
      </c>
      <c r="L262" s="82">
        <v>0</v>
      </c>
      <c r="M262" s="82">
        <v>0</v>
      </c>
      <c r="N262" s="1">
        <v>4843225.32</v>
      </c>
      <c r="O262" s="82">
        <v>0</v>
      </c>
      <c r="P262" s="82">
        <v>0</v>
      </c>
      <c r="Q262" s="82">
        <v>0</v>
      </c>
      <c r="R262" s="133">
        <v>2027</v>
      </c>
      <c r="S262" s="133">
        <v>2027</v>
      </c>
    </row>
    <row r="263" spans="1:19" ht="18.75" customHeight="1">
      <c r="A263" s="76">
        <v>53</v>
      </c>
      <c r="B263" s="121" t="s">
        <v>720</v>
      </c>
      <c r="C263" s="95">
        <v>1989</v>
      </c>
      <c r="D263" s="76" t="s">
        <v>75</v>
      </c>
      <c r="E263" s="95">
        <v>5</v>
      </c>
      <c r="F263" s="95">
        <v>4</v>
      </c>
      <c r="G263" s="1">
        <v>2917.1</v>
      </c>
      <c r="H263" s="1">
        <v>2917.1</v>
      </c>
      <c r="I263" s="1">
        <v>2628.1</v>
      </c>
      <c r="J263" s="133">
        <v>93</v>
      </c>
      <c r="K263" s="1">
        <f t="shared" ref="K263:K264" si="66">L263+M263+N263+O263+P263+Q263</f>
        <v>8621305.4199999999</v>
      </c>
      <c r="L263" s="82">
        <v>0</v>
      </c>
      <c r="M263" s="82">
        <v>0</v>
      </c>
      <c r="N263" s="1">
        <v>8621305.4199999999</v>
      </c>
      <c r="O263" s="82">
        <v>0</v>
      </c>
      <c r="P263" s="82">
        <v>0</v>
      </c>
      <c r="Q263" s="82">
        <v>0</v>
      </c>
      <c r="R263" s="133">
        <v>2027</v>
      </c>
      <c r="S263" s="133">
        <v>2027</v>
      </c>
    </row>
    <row r="264" spans="1:19" ht="18.75" customHeight="1">
      <c r="A264" s="76">
        <v>54</v>
      </c>
      <c r="B264" s="121" t="s">
        <v>498</v>
      </c>
      <c r="C264" s="95">
        <v>1992</v>
      </c>
      <c r="D264" s="76" t="s">
        <v>75</v>
      </c>
      <c r="E264" s="95">
        <v>4</v>
      </c>
      <c r="F264" s="95">
        <v>1</v>
      </c>
      <c r="G264" s="1">
        <v>871.3</v>
      </c>
      <c r="H264" s="1">
        <v>826.5</v>
      </c>
      <c r="I264" s="1">
        <v>826.5</v>
      </c>
      <c r="J264" s="133">
        <v>41</v>
      </c>
      <c r="K264" s="1">
        <f t="shared" si="66"/>
        <v>6113985.9500000002</v>
      </c>
      <c r="L264" s="82">
        <v>0</v>
      </c>
      <c r="M264" s="82">
        <v>0</v>
      </c>
      <c r="N264" s="1">
        <v>6113985.9500000002</v>
      </c>
      <c r="O264" s="82">
        <v>0</v>
      </c>
      <c r="P264" s="82">
        <v>0</v>
      </c>
      <c r="Q264" s="82">
        <v>0</v>
      </c>
      <c r="R264" s="133">
        <v>2027</v>
      </c>
      <c r="S264" s="133">
        <v>2027</v>
      </c>
    </row>
    <row r="265" spans="1:19" ht="39.75" customHeight="1">
      <c r="A265" s="158" t="s">
        <v>200</v>
      </c>
      <c r="B265" s="159"/>
      <c r="C265" s="159"/>
      <c r="D265" s="159"/>
      <c r="E265" s="159"/>
      <c r="F265" s="160"/>
      <c r="G265" s="8">
        <f>G266</f>
        <v>845.7</v>
      </c>
      <c r="H265" s="1">
        <f t="shared" ref="H265:Q265" si="67">H266</f>
        <v>780.9</v>
      </c>
      <c r="I265" s="1">
        <f t="shared" si="67"/>
        <v>780.9</v>
      </c>
      <c r="J265" s="13">
        <f t="shared" si="67"/>
        <v>23</v>
      </c>
      <c r="K265" s="8">
        <f t="shared" si="67"/>
        <v>5899098.4000000004</v>
      </c>
      <c r="L265" s="2">
        <f t="shared" si="67"/>
        <v>0</v>
      </c>
      <c r="M265" s="2">
        <f t="shared" si="67"/>
        <v>0</v>
      </c>
      <c r="N265" s="8">
        <f t="shared" si="67"/>
        <v>5899098.4000000004</v>
      </c>
      <c r="O265" s="2">
        <f t="shared" si="67"/>
        <v>0</v>
      </c>
      <c r="P265" s="2">
        <f t="shared" si="67"/>
        <v>0</v>
      </c>
      <c r="Q265" s="2">
        <f t="shared" si="67"/>
        <v>0</v>
      </c>
      <c r="R265" s="133" t="s">
        <v>52</v>
      </c>
      <c r="S265" s="133" t="s">
        <v>52</v>
      </c>
    </row>
    <row r="266" spans="1:19" ht="18.75" customHeight="1">
      <c r="A266" s="76">
        <v>55</v>
      </c>
      <c r="B266" s="121" t="s">
        <v>499</v>
      </c>
      <c r="C266" s="95">
        <v>1974</v>
      </c>
      <c r="D266" s="76" t="s">
        <v>75</v>
      </c>
      <c r="E266" s="95">
        <v>2</v>
      </c>
      <c r="F266" s="95">
        <v>2</v>
      </c>
      <c r="G266" s="1">
        <v>845.7</v>
      </c>
      <c r="H266" s="1">
        <v>780.9</v>
      </c>
      <c r="I266" s="1">
        <v>780.9</v>
      </c>
      <c r="J266" s="133">
        <v>23</v>
      </c>
      <c r="K266" s="1">
        <f>L266+M266+N266+O266+P266+Q266</f>
        <v>5899098.4000000004</v>
      </c>
      <c r="L266" s="82">
        <v>0</v>
      </c>
      <c r="M266" s="82">
        <v>0</v>
      </c>
      <c r="N266" s="1">
        <v>5899098.4000000004</v>
      </c>
      <c r="O266" s="82">
        <v>0</v>
      </c>
      <c r="P266" s="82">
        <v>0</v>
      </c>
      <c r="Q266" s="82">
        <v>0</v>
      </c>
      <c r="R266" s="133">
        <v>2027</v>
      </c>
      <c r="S266" s="133">
        <v>2027</v>
      </c>
    </row>
    <row r="267" spans="1:19" ht="30.75" customHeight="1">
      <c r="A267" s="158" t="s">
        <v>186</v>
      </c>
      <c r="B267" s="159"/>
      <c r="C267" s="159"/>
      <c r="D267" s="159"/>
      <c r="E267" s="159"/>
      <c r="F267" s="160"/>
      <c r="G267" s="8">
        <f>G268</f>
        <v>680.9</v>
      </c>
      <c r="H267" s="1">
        <f t="shared" ref="H267:N267" si="68">H268</f>
        <v>625.70000000000005</v>
      </c>
      <c r="I267" s="1">
        <f t="shared" si="68"/>
        <v>625.70000000000005</v>
      </c>
      <c r="J267" s="13">
        <f t="shared" si="68"/>
        <v>20</v>
      </c>
      <c r="K267" s="8">
        <f t="shared" si="68"/>
        <v>7050163.5199999996</v>
      </c>
      <c r="L267" s="2">
        <v>0</v>
      </c>
      <c r="M267" s="2">
        <v>0</v>
      </c>
      <c r="N267" s="8">
        <f t="shared" si="68"/>
        <v>7050163.5199999996</v>
      </c>
      <c r="O267" s="2">
        <v>0</v>
      </c>
      <c r="P267" s="2">
        <v>0</v>
      </c>
      <c r="Q267" s="2">
        <v>0</v>
      </c>
      <c r="R267" s="133" t="s">
        <v>52</v>
      </c>
      <c r="S267" s="133" t="s">
        <v>52</v>
      </c>
    </row>
    <row r="268" spans="1:19" ht="18.75" customHeight="1">
      <c r="A268" s="76">
        <v>56</v>
      </c>
      <c r="B268" s="7" t="s">
        <v>187</v>
      </c>
      <c r="C268" s="76">
        <v>1956</v>
      </c>
      <c r="D268" s="76" t="s">
        <v>188</v>
      </c>
      <c r="E268" s="76">
        <v>2</v>
      </c>
      <c r="F268" s="76">
        <v>2</v>
      </c>
      <c r="G268" s="2">
        <v>680.9</v>
      </c>
      <c r="H268" s="2">
        <v>625.70000000000005</v>
      </c>
      <c r="I268" s="1">
        <v>625.70000000000005</v>
      </c>
      <c r="J268" s="128">
        <v>20</v>
      </c>
      <c r="K268" s="1">
        <f>L268+M268+N268+O268+P268+Q268</f>
        <v>7050163.5199999996</v>
      </c>
      <c r="L268" s="1">
        <v>0</v>
      </c>
      <c r="M268" s="1">
        <v>0</v>
      </c>
      <c r="N268" s="1">
        <v>7050163.5199999996</v>
      </c>
      <c r="O268" s="1">
        <v>0</v>
      </c>
      <c r="P268" s="1">
        <v>0</v>
      </c>
      <c r="Q268" s="1">
        <v>0</v>
      </c>
      <c r="R268" s="128">
        <v>2027</v>
      </c>
      <c r="S268" s="128">
        <v>2027</v>
      </c>
    </row>
    <row r="269" spans="1:19" ht="36.75" customHeight="1">
      <c r="A269" s="158" t="s">
        <v>280</v>
      </c>
      <c r="B269" s="159"/>
      <c r="C269" s="159"/>
      <c r="D269" s="159"/>
      <c r="E269" s="159"/>
      <c r="F269" s="160"/>
      <c r="G269" s="8">
        <f>G270</f>
        <v>9948</v>
      </c>
      <c r="H269" s="8">
        <f t="shared" ref="H269:Q269" si="69">H270</f>
        <v>9948</v>
      </c>
      <c r="I269" s="8">
        <f t="shared" si="69"/>
        <v>8879.5</v>
      </c>
      <c r="J269" s="13">
        <f t="shared" si="69"/>
        <v>355</v>
      </c>
      <c r="K269" s="8">
        <f t="shared" si="69"/>
        <v>33436089.73</v>
      </c>
      <c r="L269" s="2">
        <f t="shared" si="69"/>
        <v>0</v>
      </c>
      <c r="M269" s="2">
        <f t="shared" si="69"/>
        <v>0</v>
      </c>
      <c r="N269" s="8">
        <f t="shared" si="69"/>
        <v>33436089.73</v>
      </c>
      <c r="O269" s="2">
        <f t="shared" si="69"/>
        <v>0</v>
      </c>
      <c r="P269" s="2">
        <f t="shared" si="69"/>
        <v>0</v>
      </c>
      <c r="Q269" s="2">
        <f t="shared" si="69"/>
        <v>0</v>
      </c>
      <c r="R269" s="133" t="s">
        <v>52</v>
      </c>
      <c r="S269" s="133" t="s">
        <v>52</v>
      </c>
    </row>
    <row r="270" spans="1:19" ht="18.75" customHeight="1">
      <c r="A270" s="76">
        <v>57</v>
      </c>
      <c r="B270" s="20" t="s">
        <v>721</v>
      </c>
      <c r="C270" s="76">
        <v>1986</v>
      </c>
      <c r="D270" s="76" t="s">
        <v>75</v>
      </c>
      <c r="E270" s="76">
        <v>5</v>
      </c>
      <c r="F270" s="76">
        <v>13</v>
      </c>
      <c r="G270" s="1">
        <v>9948</v>
      </c>
      <c r="H270" s="1">
        <v>9948</v>
      </c>
      <c r="I270" s="1">
        <v>8879.5</v>
      </c>
      <c r="J270" s="128">
        <v>355</v>
      </c>
      <c r="K270" s="1">
        <v>33436089.73</v>
      </c>
      <c r="L270" s="8">
        <v>0</v>
      </c>
      <c r="M270" s="1">
        <v>0</v>
      </c>
      <c r="N270" s="1">
        <v>33436089.73</v>
      </c>
      <c r="O270" s="1">
        <v>0</v>
      </c>
      <c r="P270" s="1">
        <v>0</v>
      </c>
      <c r="Q270" s="1">
        <v>0</v>
      </c>
      <c r="R270" s="128">
        <v>2027</v>
      </c>
      <c r="S270" s="128">
        <v>2027</v>
      </c>
    </row>
    <row r="271" spans="1:19" ht="45.75" customHeight="1">
      <c r="A271" s="158" t="s">
        <v>326</v>
      </c>
      <c r="B271" s="159"/>
      <c r="C271" s="159"/>
      <c r="D271" s="159"/>
      <c r="E271" s="159"/>
      <c r="F271" s="160"/>
      <c r="G271" s="1">
        <f t="shared" ref="G271:Q271" si="70">SUM(G272:G281)</f>
        <v>20325</v>
      </c>
      <c r="H271" s="1">
        <f t="shared" si="70"/>
        <v>17047</v>
      </c>
      <c r="I271" s="1">
        <f t="shared" si="70"/>
        <v>17022.8</v>
      </c>
      <c r="J271" s="133">
        <f t="shared" si="70"/>
        <v>654</v>
      </c>
      <c r="K271" s="1">
        <f t="shared" si="70"/>
        <v>75077961.910000011</v>
      </c>
      <c r="L271" s="1">
        <f t="shared" si="70"/>
        <v>0</v>
      </c>
      <c r="M271" s="1">
        <f t="shared" si="70"/>
        <v>0</v>
      </c>
      <c r="N271" s="1">
        <f t="shared" si="70"/>
        <v>75077961.910000011</v>
      </c>
      <c r="O271" s="1">
        <f t="shared" si="70"/>
        <v>0</v>
      </c>
      <c r="P271" s="1">
        <f t="shared" si="70"/>
        <v>0</v>
      </c>
      <c r="Q271" s="1">
        <f t="shared" si="70"/>
        <v>0</v>
      </c>
      <c r="R271" s="133" t="s">
        <v>52</v>
      </c>
      <c r="S271" s="133" t="s">
        <v>52</v>
      </c>
    </row>
    <row r="272" spans="1:19" ht="18.75" customHeight="1">
      <c r="A272" s="76">
        <v>58</v>
      </c>
      <c r="B272" s="121" t="s">
        <v>723</v>
      </c>
      <c r="C272" s="95">
        <v>2000</v>
      </c>
      <c r="D272" s="76" t="s">
        <v>77</v>
      </c>
      <c r="E272" s="95">
        <v>9</v>
      </c>
      <c r="F272" s="95">
        <v>4</v>
      </c>
      <c r="G272" s="1">
        <v>9267.5</v>
      </c>
      <c r="H272" s="1">
        <v>8129.2</v>
      </c>
      <c r="I272" s="1">
        <v>8129.2</v>
      </c>
      <c r="J272" s="128">
        <v>312</v>
      </c>
      <c r="K272" s="1">
        <v>24502211.390000001</v>
      </c>
      <c r="L272" s="8">
        <v>0</v>
      </c>
      <c r="M272" s="8">
        <v>0</v>
      </c>
      <c r="N272" s="1">
        <v>24502211.390000001</v>
      </c>
      <c r="O272" s="8">
        <v>0</v>
      </c>
      <c r="P272" s="8">
        <v>0</v>
      </c>
      <c r="Q272" s="8">
        <v>0</v>
      </c>
      <c r="R272" s="133">
        <v>2027</v>
      </c>
      <c r="S272" s="133">
        <v>2027</v>
      </c>
    </row>
    <row r="273" spans="1:19" ht="18.75" customHeight="1">
      <c r="A273" s="76">
        <v>59</v>
      </c>
      <c r="B273" s="121" t="s">
        <v>724</v>
      </c>
      <c r="C273" s="95">
        <v>1917</v>
      </c>
      <c r="D273" s="76" t="s">
        <v>75</v>
      </c>
      <c r="E273" s="95">
        <v>2</v>
      </c>
      <c r="F273" s="95">
        <v>2</v>
      </c>
      <c r="G273" s="2">
        <v>363.4</v>
      </c>
      <c r="H273" s="2">
        <v>297.5</v>
      </c>
      <c r="I273" s="2">
        <v>297.5</v>
      </c>
      <c r="J273" s="128">
        <v>12</v>
      </c>
      <c r="K273" s="1">
        <v>4618478.5900000008</v>
      </c>
      <c r="L273" s="8">
        <v>0</v>
      </c>
      <c r="M273" s="8">
        <v>0</v>
      </c>
      <c r="N273" s="1">
        <v>4618478.5900000008</v>
      </c>
      <c r="O273" s="8">
        <v>0</v>
      </c>
      <c r="P273" s="8">
        <v>0</v>
      </c>
      <c r="Q273" s="8">
        <v>0</v>
      </c>
      <c r="R273" s="133">
        <v>2027</v>
      </c>
      <c r="S273" s="133">
        <v>2027</v>
      </c>
    </row>
    <row r="274" spans="1:19" ht="18.75" customHeight="1">
      <c r="A274" s="76">
        <v>60</v>
      </c>
      <c r="B274" s="121" t="s">
        <v>725</v>
      </c>
      <c r="C274" s="95">
        <v>1958</v>
      </c>
      <c r="D274" s="76" t="s">
        <v>75</v>
      </c>
      <c r="E274" s="95">
        <v>2</v>
      </c>
      <c r="F274" s="95">
        <v>1</v>
      </c>
      <c r="G274" s="2">
        <v>398.1</v>
      </c>
      <c r="H274" s="2">
        <v>362.9</v>
      </c>
      <c r="I274" s="2">
        <v>362.9</v>
      </c>
      <c r="J274" s="128">
        <v>16</v>
      </c>
      <c r="K274" s="1">
        <v>4281256.3499999996</v>
      </c>
      <c r="L274" s="8">
        <v>0</v>
      </c>
      <c r="M274" s="8">
        <v>0</v>
      </c>
      <c r="N274" s="1">
        <v>4281256.3499999996</v>
      </c>
      <c r="O274" s="8">
        <v>0</v>
      </c>
      <c r="P274" s="8">
        <v>0</v>
      </c>
      <c r="Q274" s="8">
        <v>0</v>
      </c>
      <c r="R274" s="133">
        <v>2027</v>
      </c>
      <c r="S274" s="133">
        <v>2027</v>
      </c>
    </row>
    <row r="275" spans="1:19" ht="18.75" customHeight="1">
      <c r="A275" s="76">
        <v>61</v>
      </c>
      <c r="B275" s="121" t="s">
        <v>722</v>
      </c>
      <c r="C275" s="95">
        <v>1956</v>
      </c>
      <c r="D275" s="76" t="s">
        <v>75</v>
      </c>
      <c r="E275" s="95">
        <v>2</v>
      </c>
      <c r="F275" s="95">
        <v>1</v>
      </c>
      <c r="G275" s="2">
        <v>345.6</v>
      </c>
      <c r="H275" s="2">
        <v>315.8</v>
      </c>
      <c r="I275" s="2">
        <v>315.8</v>
      </c>
      <c r="J275" s="128">
        <v>12</v>
      </c>
      <c r="K275" s="1">
        <v>4097983.3899999997</v>
      </c>
      <c r="L275" s="8">
        <v>0</v>
      </c>
      <c r="M275" s="8">
        <v>0</v>
      </c>
      <c r="N275" s="1">
        <v>4097983.3899999997</v>
      </c>
      <c r="O275" s="8">
        <v>0</v>
      </c>
      <c r="P275" s="8">
        <v>0</v>
      </c>
      <c r="Q275" s="8">
        <v>0</v>
      </c>
      <c r="R275" s="133">
        <v>2027</v>
      </c>
      <c r="S275" s="133">
        <v>2027</v>
      </c>
    </row>
    <row r="276" spans="1:19" ht="21" customHeight="1">
      <c r="A276" s="76">
        <v>62</v>
      </c>
      <c r="B276" s="121" t="s">
        <v>726</v>
      </c>
      <c r="C276" s="95">
        <v>1988</v>
      </c>
      <c r="D276" s="76" t="s">
        <v>75</v>
      </c>
      <c r="E276" s="95">
        <v>2</v>
      </c>
      <c r="F276" s="95">
        <v>1</v>
      </c>
      <c r="G276" s="2">
        <v>512.6</v>
      </c>
      <c r="H276" s="2">
        <v>462.2</v>
      </c>
      <c r="I276" s="2">
        <v>462.2</v>
      </c>
      <c r="J276" s="128">
        <v>15</v>
      </c>
      <c r="K276" s="1">
        <v>5908720.2299999995</v>
      </c>
      <c r="L276" s="8">
        <v>0</v>
      </c>
      <c r="M276" s="8">
        <v>0</v>
      </c>
      <c r="N276" s="1">
        <v>5908720.2299999995</v>
      </c>
      <c r="O276" s="8">
        <v>0</v>
      </c>
      <c r="P276" s="8">
        <v>0</v>
      </c>
      <c r="Q276" s="8">
        <v>0</v>
      </c>
      <c r="R276" s="133">
        <v>2027</v>
      </c>
      <c r="S276" s="133">
        <v>2027</v>
      </c>
    </row>
    <row r="277" spans="1:19" ht="18.75" customHeight="1">
      <c r="A277" s="76">
        <v>63</v>
      </c>
      <c r="B277" s="121" t="s">
        <v>727</v>
      </c>
      <c r="C277" s="95">
        <v>1959</v>
      </c>
      <c r="D277" s="76" t="s">
        <v>75</v>
      </c>
      <c r="E277" s="95">
        <v>2</v>
      </c>
      <c r="F277" s="95">
        <v>2</v>
      </c>
      <c r="G277" s="2">
        <v>446.8</v>
      </c>
      <c r="H277" s="2">
        <v>401.1</v>
      </c>
      <c r="I277" s="2">
        <v>376.9</v>
      </c>
      <c r="J277" s="128">
        <v>12</v>
      </c>
      <c r="K277" s="1">
        <v>6671135.7400000002</v>
      </c>
      <c r="L277" s="8">
        <v>0</v>
      </c>
      <c r="M277" s="8">
        <v>0</v>
      </c>
      <c r="N277" s="1">
        <v>6671135.7400000002</v>
      </c>
      <c r="O277" s="8">
        <v>0</v>
      </c>
      <c r="P277" s="8">
        <v>0</v>
      </c>
      <c r="Q277" s="8">
        <v>0</v>
      </c>
      <c r="R277" s="133">
        <v>2027</v>
      </c>
      <c r="S277" s="133">
        <v>2027</v>
      </c>
    </row>
    <row r="278" spans="1:19" ht="18.75" customHeight="1">
      <c r="A278" s="76">
        <v>64</v>
      </c>
      <c r="B278" s="121" t="s">
        <v>728</v>
      </c>
      <c r="C278" s="95">
        <v>1996</v>
      </c>
      <c r="D278" s="95" t="s">
        <v>449</v>
      </c>
      <c r="E278" s="95">
        <v>5</v>
      </c>
      <c r="F278" s="95">
        <v>4</v>
      </c>
      <c r="G278" s="1">
        <v>3272.3</v>
      </c>
      <c r="H278" s="1">
        <v>2913.9</v>
      </c>
      <c r="I278" s="1">
        <v>2913.9</v>
      </c>
      <c r="J278" s="128">
        <v>119</v>
      </c>
      <c r="K278" s="1">
        <v>7714205.5999999996</v>
      </c>
      <c r="L278" s="8">
        <v>0</v>
      </c>
      <c r="M278" s="8">
        <v>0</v>
      </c>
      <c r="N278" s="1">
        <v>7714205.5999999996</v>
      </c>
      <c r="O278" s="8">
        <v>0</v>
      </c>
      <c r="P278" s="8">
        <v>0</v>
      </c>
      <c r="Q278" s="8">
        <v>0</v>
      </c>
      <c r="R278" s="133">
        <v>2027</v>
      </c>
      <c r="S278" s="133">
        <v>2027</v>
      </c>
    </row>
    <row r="279" spans="1:19" ht="18.75" customHeight="1">
      <c r="A279" s="76">
        <v>65</v>
      </c>
      <c r="B279" s="121" t="s">
        <v>729</v>
      </c>
      <c r="C279" s="95">
        <v>1960</v>
      </c>
      <c r="D279" s="76" t="s">
        <v>75</v>
      </c>
      <c r="E279" s="95">
        <v>2</v>
      </c>
      <c r="F279" s="95">
        <v>2</v>
      </c>
      <c r="G279" s="2">
        <v>634.5</v>
      </c>
      <c r="H279" s="2">
        <v>583.4</v>
      </c>
      <c r="I279" s="2">
        <v>583.4</v>
      </c>
      <c r="J279" s="128">
        <v>24</v>
      </c>
      <c r="K279" s="1">
        <v>7888068.2000000002</v>
      </c>
      <c r="L279" s="8">
        <v>0</v>
      </c>
      <c r="M279" s="8">
        <v>0</v>
      </c>
      <c r="N279" s="1">
        <v>7888068.2000000002</v>
      </c>
      <c r="O279" s="8">
        <v>0</v>
      </c>
      <c r="P279" s="8">
        <v>0</v>
      </c>
      <c r="Q279" s="8">
        <v>0</v>
      </c>
      <c r="R279" s="133">
        <v>2027</v>
      </c>
      <c r="S279" s="133">
        <v>2027</v>
      </c>
    </row>
    <row r="280" spans="1:19" ht="18.75" customHeight="1">
      <c r="A280" s="76">
        <v>66</v>
      </c>
      <c r="B280" s="121" t="s">
        <v>730</v>
      </c>
      <c r="C280" s="95">
        <v>1987</v>
      </c>
      <c r="D280" s="95" t="s">
        <v>449</v>
      </c>
      <c r="E280" s="95">
        <v>2</v>
      </c>
      <c r="F280" s="95">
        <v>3</v>
      </c>
      <c r="G280" s="2">
        <v>960.9</v>
      </c>
      <c r="H280" s="2">
        <v>851.3</v>
      </c>
      <c r="I280" s="2">
        <v>851.3</v>
      </c>
      <c r="J280" s="128">
        <v>28</v>
      </c>
      <c r="K280" s="1">
        <v>5311911.22</v>
      </c>
      <c r="L280" s="8">
        <v>0</v>
      </c>
      <c r="M280" s="8">
        <v>0</v>
      </c>
      <c r="N280" s="1">
        <v>5311911.22</v>
      </c>
      <c r="O280" s="8">
        <v>0</v>
      </c>
      <c r="P280" s="8">
        <v>0</v>
      </c>
      <c r="Q280" s="8">
        <v>0</v>
      </c>
      <c r="R280" s="133">
        <v>2027</v>
      </c>
      <c r="S280" s="133">
        <v>2027</v>
      </c>
    </row>
    <row r="281" spans="1:19" ht="18.75" customHeight="1">
      <c r="A281" s="76">
        <v>67</v>
      </c>
      <c r="B281" s="121" t="s">
        <v>453</v>
      </c>
      <c r="C281" s="95">
        <v>1995</v>
      </c>
      <c r="D281" s="95" t="s">
        <v>75</v>
      </c>
      <c r="E281" s="95">
        <v>9</v>
      </c>
      <c r="F281" s="95">
        <v>1</v>
      </c>
      <c r="G281" s="2">
        <v>4123.3</v>
      </c>
      <c r="H281" s="2">
        <v>2729.7</v>
      </c>
      <c r="I281" s="2">
        <v>2729.7</v>
      </c>
      <c r="J281" s="128">
        <v>104</v>
      </c>
      <c r="K281" s="1">
        <v>4083991.2</v>
      </c>
      <c r="L281" s="8">
        <v>0</v>
      </c>
      <c r="M281" s="8">
        <v>0</v>
      </c>
      <c r="N281" s="1">
        <v>4083991.2</v>
      </c>
      <c r="O281" s="8">
        <v>0</v>
      </c>
      <c r="P281" s="8">
        <v>0</v>
      </c>
      <c r="Q281" s="8">
        <v>0</v>
      </c>
      <c r="R281" s="133">
        <v>2027</v>
      </c>
      <c r="S281" s="133">
        <v>2027</v>
      </c>
    </row>
    <row r="282" spans="1:19" ht="39.75" customHeight="1">
      <c r="A282" s="158" t="s">
        <v>141</v>
      </c>
      <c r="B282" s="159"/>
      <c r="C282" s="159"/>
      <c r="D282" s="159"/>
      <c r="E282" s="159"/>
      <c r="F282" s="160"/>
      <c r="G282" s="8">
        <f>G283</f>
        <v>841.6</v>
      </c>
      <c r="H282" s="8">
        <f t="shared" ref="H282:N282" si="71">H283</f>
        <v>841.6</v>
      </c>
      <c r="I282" s="8">
        <f t="shared" si="71"/>
        <v>774</v>
      </c>
      <c r="J282" s="133">
        <f t="shared" si="71"/>
        <v>20</v>
      </c>
      <c r="K282" s="8">
        <f t="shared" si="71"/>
        <v>10491277.32</v>
      </c>
      <c r="L282" s="2">
        <v>0</v>
      </c>
      <c r="M282" s="2">
        <v>0</v>
      </c>
      <c r="N282" s="8">
        <f t="shared" si="71"/>
        <v>10491277.32</v>
      </c>
      <c r="O282" s="2">
        <v>0</v>
      </c>
      <c r="P282" s="2">
        <v>0</v>
      </c>
      <c r="Q282" s="2">
        <v>0</v>
      </c>
      <c r="R282" s="133" t="s">
        <v>52</v>
      </c>
      <c r="S282" s="133" t="s">
        <v>52</v>
      </c>
    </row>
    <row r="283" spans="1:19" ht="18.75" customHeight="1">
      <c r="A283" s="76">
        <v>68</v>
      </c>
      <c r="B283" s="121" t="s">
        <v>500</v>
      </c>
      <c r="C283" s="95">
        <v>1975</v>
      </c>
      <c r="D283" s="76" t="s">
        <v>75</v>
      </c>
      <c r="E283" s="95">
        <v>2</v>
      </c>
      <c r="F283" s="95">
        <v>2</v>
      </c>
      <c r="G283" s="1">
        <v>841.6</v>
      </c>
      <c r="H283" s="3">
        <v>841.6</v>
      </c>
      <c r="I283" s="3">
        <v>774</v>
      </c>
      <c r="J283" s="133">
        <v>20</v>
      </c>
      <c r="K283" s="1">
        <f>L283+M283+N283+O283+P283+Q283</f>
        <v>10491277.32</v>
      </c>
      <c r="L283" s="2">
        <v>0</v>
      </c>
      <c r="M283" s="82">
        <v>0</v>
      </c>
      <c r="N283" s="1">
        <v>10491277.32</v>
      </c>
      <c r="O283" s="1">
        <v>0</v>
      </c>
      <c r="P283" s="1">
        <v>0</v>
      </c>
      <c r="Q283" s="1">
        <v>0</v>
      </c>
      <c r="R283" s="133">
        <v>2027</v>
      </c>
      <c r="S283" s="133">
        <v>2027</v>
      </c>
    </row>
    <row r="284" spans="1:19" ht="33.75" customHeight="1">
      <c r="A284" s="158" t="s">
        <v>139</v>
      </c>
      <c r="B284" s="159"/>
      <c r="C284" s="159"/>
      <c r="D284" s="159"/>
      <c r="E284" s="159"/>
      <c r="F284" s="160"/>
      <c r="G284" s="8">
        <f>G285</f>
        <v>388.5</v>
      </c>
      <c r="H284" s="8">
        <f t="shared" ref="H284:N284" si="72">H285</f>
        <v>388.5</v>
      </c>
      <c r="I284" s="8">
        <f t="shared" si="72"/>
        <v>388.5</v>
      </c>
      <c r="J284" s="133">
        <f t="shared" si="72"/>
        <v>14</v>
      </c>
      <c r="K284" s="8">
        <f t="shared" si="72"/>
        <v>8776575.5099999998</v>
      </c>
      <c r="L284" s="2">
        <v>0</v>
      </c>
      <c r="M284" s="2">
        <v>0</v>
      </c>
      <c r="N284" s="8">
        <f t="shared" si="72"/>
        <v>8776575.5099999998</v>
      </c>
      <c r="O284" s="2">
        <v>0</v>
      </c>
      <c r="P284" s="2">
        <v>0</v>
      </c>
      <c r="Q284" s="2">
        <v>0</v>
      </c>
      <c r="R284" s="133" t="s">
        <v>52</v>
      </c>
      <c r="S284" s="133" t="s">
        <v>52</v>
      </c>
    </row>
    <row r="285" spans="1:19" ht="18.75" customHeight="1">
      <c r="A285" s="76">
        <v>69</v>
      </c>
      <c r="B285" s="121" t="s">
        <v>545</v>
      </c>
      <c r="C285" s="95">
        <v>1967</v>
      </c>
      <c r="D285" s="76" t="s">
        <v>77</v>
      </c>
      <c r="E285" s="95">
        <v>2</v>
      </c>
      <c r="F285" s="95">
        <v>2</v>
      </c>
      <c r="G285" s="1">
        <v>388.5</v>
      </c>
      <c r="H285" s="3">
        <v>388.5</v>
      </c>
      <c r="I285" s="3">
        <v>388.5</v>
      </c>
      <c r="J285" s="133">
        <v>14</v>
      </c>
      <c r="K285" s="1">
        <f>L285+M285+N285+O285+P285+Q285</f>
        <v>8776575.5099999998</v>
      </c>
      <c r="L285" s="2">
        <v>0</v>
      </c>
      <c r="M285" s="2">
        <v>0</v>
      </c>
      <c r="N285" s="1">
        <v>8776575.5099999998</v>
      </c>
      <c r="O285" s="1">
        <v>0</v>
      </c>
      <c r="P285" s="1">
        <v>0</v>
      </c>
      <c r="Q285" s="1">
        <v>0</v>
      </c>
      <c r="R285" s="133">
        <v>2027</v>
      </c>
      <c r="S285" s="133">
        <v>2027</v>
      </c>
    </row>
    <row r="286" spans="1:19" ht="33.75" customHeight="1">
      <c r="A286" s="158" t="s">
        <v>318</v>
      </c>
      <c r="B286" s="159"/>
      <c r="C286" s="159"/>
      <c r="D286" s="159"/>
      <c r="E286" s="159"/>
      <c r="F286" s="160"/>
      <c r="G286" s="8">
        <f>SUM(G287:G288)</f>
        <v>3335.1000000000004</v>
      </c>
      <c r="H286" s="8">
        <f t="shared" ref="H286:Q286" si="73">SUM(H287:H288)</f>
        <v>3335.1000000000004</v>
      </c>
      <c r="I286" s="63">
        <f t="shared" si="73"/>
        <v>3291.3</v>
      </c>
      <c r="J286" s="133">
        <f t="shared" si="73"/>
        <v>130</v>
      </c>
      <c r="K286" s="8">
        <f t="shared" si="73"/>
        <v>24408586.050000001</v>
      </c>
      <c r="L286" s="2">
        <f t="shared" si="73"/>
        <v>0</v>
      </c>
      <c r="M286" s="2">
        <f t="shared" si="73"/>
        <v>0</v>
      </c>
      <c r="N286" s="63">
        <f t="shared" si="73"/>
        <v>24408586.050000001</v>
      </c>
      <c r="O286" s="2">
        <f t="shared" si="73"/>
        <v>0</v>
      </c>
      <c r="P286" s="2">
        <f t="shared" si="73"/>
        <v>0</v>
      </c>
      <c r="Q286" s="2">
        <f t="shared" si="73"/>
        <v>0</v>
      </c>
      <c r="R286" s="133" t="s">
        <v>52</v>
      </c>
      <c r="S286" s="133" t="s">
        <v>52</v>
      </c>
    </row>
    <row r="287" spans="1:19" ht="18.75" customHeight="1">
      <c r="A287" s="76">
        <v>70</v>
      </c>
      <c r="B287" s="7" t="s">
        <v>731</v>
      </c>
      <c r="C287" s="95">
        <v>1992</v>
      </c>
      <c r="D287" s="76" t="s">
        <v>77</v>
      </c>
      <c r="E287" s="95">
        <v>5</v>
      </c>
      <c r="F287" s="95">
        <v>2</v>
      </c>
      <c r="G287" s="1">
        <v>2812.8</v>
      </c>
      <c r="H287" s="1">
        <v>2812.8</v>
      </c>
      <c r="I287" s="1">
        <v>2769</v>
      </c>
      <c r="J287" s="133">
        <v>114</v>
      </c>
      <c r="K287" s="8">
        <v>17256981.91</v>
      </c>
      <c r="L287" s="2">
        <v>0</v>
      </c>
      <c r="M287" s="2">
        <v>0</v>
      </c>
      <c r="N287" s="8">
        <v>17256981.91</v>
      </c>
      <c r="O287" s="1">
        <v>0</v>
      </c>
      <c r="P287" s="1">
        <v>0</v>
      </c>
      <c r="Q287" s="1">
        <v>0</v>
      </c>
      <c r="R287" s="133">
        <v>2027</v>
      </c>
      <c r="S287" s="133">
        <v>2027</v>
      </c>
    </row>
    <row r="288" spans="1:19" ht="18.75" customHeight="1">
      <c r="A288" s="76">
        <v>71</v>
      </c>
      <c r="B288" s="7" t="s">
        <v>323</v>
      </c>
      <c r="C288" s="95">
        <v>1973</v>
      </c>
      <c r="D288" s="76" t="s">
        <v>75</v>
      </c>
      <c r="E288" s="95">
        <v>2</v>
      </c>
      <c r="F288" s="95">
        <v>2</v>
      </c>
      <c r="G288" s="3">
        <v>522.29999999999995</v>
      </c>
      <c r="H288" s="3">
        <v>522.29999999999995</v>
      </c>
      <c r="I288" s="3">
        <v>522.29999999999995</v>
      </c>
      <c r="J288" s="133">
        <v>16</v>
      </c>
      <c r="K288" s="1">
        <v>7151604.1399999997</v>
      </c>
      <c r="L288" s="2">
        <v>0</v>
      </c>
      <c r="M288" s="2">
        <v>0</v>
      </c>
      <c r="N288" s="1">
        <v>7151604.1399999997</v>
      </c>
      <c r="O288" s="1">
        <v>0</v>
      </c>
      <c r="P288" s="1">
        <v>0</v>
      </c>
      <c r="Q288" s="1">
        <v>0</v>
      </c>
      <c r="R288" s="133">
        <v>2027</v>
      </c>
      <c r="S288" s="133">
        <v>2027</v>
      </c>
    </row>
    <row r="289" spans="1:19" ht="33.75" customHeight="1">
      <c r="A289" s="158" t="s">
        <v>489</v>
      </c>
      <c r="B289" s="159"/>
      <c r="C289" s="159"/>
      <c r="D289" s="159"/>
      <c r="E289" s="159"/>
      <c r="F289" s="160"/>
      <c r="G289" s="8">
        <f>SUM(G290:G294)</f>
        <v>1903.5800000000002</v>
      </c>
      <c r="H289" s="8">
        <f t="shared" ref="H289:N289" si="74">SUM(H290:H294)</f>
        <v>1903.5800000000002</v>
      </c>
      <c r="I289" s="8">
        <f t="shared" si="74"/>
        <v>1578.5</v>
      </c>
      <c r="J289" s="128">
        <f t="shared" si="74"/>
        <v>72</v>
      </c>
      <c r="K289" s="8">
        <f t="shared" si="74"/>
        <v>22456948.959999997</v>
      </c>
      <c r="L289" s="2">
        <v>0</v>
      </c>
      <c r="M289" s="2">
        <f t="shared" si="74"/>
        <v>0</v>
      </c>
      <c r="N289" s="80">
        <f t="shared" si="74"/>
        <v>22456948.959999997</v>
      </c>
      <c r="O289" s="2">
        <v>0</v>
      </c>
      <c r="P289" s="2">
        <v>0</v>
      </c>
      <c r="Q289" s="2">
        <v>0</v>
      </c>
      <c r="R289" s="8" t="s">
        <v>52</v>
      </c>
      <c r="S289" s="8" t="s">
        <v>52</v>
      </c>
    </row>
    <row r="290" spans="1:19" ht="18.75" customHeight="1">
      <c r="A290" s="76">
        <v>72</v>
      </c>
      <c r="B290" s="121" t="s">
        <v>53</v>
      </c>
      <c r="C290" s="95">
        <v>1955</v>
      </c>
      <c r="D290" s="76" t="s">
        <v>75</v>
      </c>
      <c r="E290" s="95">
        <v>2</v>
      </c>
      <c r="F290" s="95">
        <v>1</v>
      </c>
      <c r="G290" s="133">
        <v>344.48</v>
      </c>
      <c r="H290" s="3">
        <v>344.48</v>
      </c>
      <c r="I290" s="3">
        <v>262.8</v>
      </c>
      <c r="J290" s="133">
        <v>9</v>
      </c>
      <c r="K290" s="8">
        <f>L290+M290+N290+O290+P290+Q290</f>
        <v>4867729.82</v>
      </c>
      <c r="L290" s="2">
        <v>0</v>
      </c>
      <c r="M290" s="2">
        <v>0</v>
      </c>
      <c r="N290" s="8">
        <v>4867729.82</v>
      </c>
      <c r="O290" s="2">
        <v>0</v>
      </c>
      <c r="P290" s="2">
        <v>0</v>
      </c>
      <c r="Q290" s="2">
        <v>0</v>
      </c>
      <c r="R290" s="133">
        <v>2027</v>
      </c>
      <c r="S290" s="133">
        <v>2027</v>
      </c>
    </row>
    <row r="291" spans="1:19" ht="18.75" customHeight="1">
      <c r="A291" s="76">
        <v>73</v>
      </c>
      <c r="B291" s="121" t="s">
        <v>732</v>
      </c>
      <c r="C291" s="95">
        <v>1933</v>
      </c>
      <c r="D291" s="76" t="s">
        <v>75</v>
      </c>
      <c r="E291" s="95">
        <v>2</v>
      </c>
      <c r="F291" s="95">
        <v>1</v>
      </c>
      <c r="G291" s="3">
        <v>327.8</v>
      </c>
      <c r="H291" s="3">
        <v>327.8</v>
      </c>
      <c r="I291" s="3">
        <v>313.5</v>
      </c>
      <c r="J291" s="133">
        <v>15</v>
      </c>
      <c r="K291" s="8">
        <f>L291+M291+N291+O291+P291+Q291</f>
        <v>4435205.63</v>
      </c>
      <c r="L291" s="2">
        <v>0</v>
      </c>
      <c r="M291" s="2">
        <v>0</v>
      </c>
      <c r="N291" s="8">
        <v>4435205.63</v>
      </c>
      <c r="O291" s="2">
        <v>0</v>
      </c>
      <c r="P291" s="2">
        <v>0</v>
      </c>
      <c r="Q291" s="2">
        <v>0</v>
      </c>
      <c r="R291" s="133">
        <v>2027</v>
      </c>
      <c r="S291" s="133">
        <v>2027</v>
      </c>
    </row>
    <row r="292" spans="1:19" ht="18.75" customHeight="1">
      <c r="A292" s="76">
        <v>74</v>
      </c>
      <c r="B292" s="121" t="s">
        <v>54</v>
      </c>
      <c r="C292" s="95">
        <v>1967</v>
      </c>
      <c r="D292" s="76" t="s">
        <v>75</v>
      </c>
      <c r="E292" s="95">
        <v>2</v>
      </c>
      <c r="F292" s="95">
        <v>1</v>
      </c>
      <c r="G292" s="3">
        <v>494</v>
      </c>
      <c r="H292" s="3">
        <v>494</v>
      </c>
      <c r="I292" s="3">
        <v>320.7</v>
      </c>
      <c r="J292" s="133">
        <v>15</v>
      </c>
      <c r="K292" s="8">
        <f>L292+M292+N292+O292+P292+Q292</f>
        <v>4503529.79</v>
      </c>
      <c r="L292" s="2">
        <v>0</v>
      </c>
      <c r="M292" s="2">
        <v>0</v>
      </c>
      <c r="N292" s="8">
        <v>4503529.79</v>
      </c>
      <c r="O292" s="2">
        <v>0</v>
      </c>
      <c r="P292" s="2">
        <v>0</v>
      </c>
      <c r="Q292" s="2">
        <v>0</v>
      </c>
      <c r="R292" s="133">
        <v>2027</v>
      </c>
      <c r="S292" s="133">
        <v>2027</v>
      </c>
    </row>
    <row r="293" spans="1:19" ht="18.75" customHeight="1">
      <c r="A293" s="76">
        <v>75</v>
      </c>
      <c r="B293" s="121" t="s">
        <v>55</v>
      </c>
      <c r="C293" s="95">
        <v>1956</v>
      </c>
      <c r="D293" s="76" t="s">
        <v>75</v>
      </c>
      <c r="E293" s="95">
        <v>2</v>
      </c>
      <c r="F293" s="95">
        <v>1</v>
      </c>
      <c r="G293" s="3">
        <v>434.6</v>
      </c>
      <c r="H293" s="3">
        <v>434.6</v>
      </c>
      <c r="I293" s="3">
        <v>399.8</v>
      </c>
      <c r="J293" s="133">
        <v>13</v>
      </c>
      <c r="K293" s="8">
        <v>4970362.68</v>
      </c>
      <c r="L293" s="2">
        <v>0</v>
      </c>
      <c r="M293" s="2">
        <v>0</v>
      </c>
      <c r="N293" s="8">
        <v>4970362.68</v>
      </c>
      <c r="O293" s="2">
        <v>0</v>
      </c>
      <c r="P293" s="2">
        <v>0</v>
      </c>
      <c r="Q293" s="2">
        <v>0</v>
      </c>
      <c r="R293" s="133">
        <v>2027</v>
      </c>
      <c r="S293" s="133">
        <v>2027</v>
      </c>
    </row>
    <row r="294" spans="1:19" ht="18.75" customHeight="1">
      <c r="A294" s="76">
        <v>76</v>
      </c>
      <c r="B294" s="121" t="s">
        <v>56</v>
      </c>
      <c r="C294" s="95">
        <v>1960</v>
      </c>
      <c r="D294" s="76" t="s">
        <v>75</v>
      </c>
      <c r="E294" s="95">
        <v>2</v>
      </c>
      <c r="F294" s="95">
        <v>1</v>
      </c>
      <c r="G294" s="8">
        <v>302.7</v>
      </c>
      <c r="H294" s="3">
        <v>302.7</v>
      </c>
      <c r="I294" s="3">
        <v>281.7</v>
      </c>
      <c r="J294" s="133">
        <v>20</v>
      </c>
      <c r="K294" s="8">
        <v>3680121.04</v>
      </c>
      <c r="L294" s="2">
        <v>0</v>
      </c>
      <c r="M294" s="2">
        <v>0</v>
      </c>
      <c r="N294" s="8">
        <v>3680121.04</v>
      </c>
      <c r="O294" s="2">
        <v>0</v>
      </c>
      <c r="P294" s="2">
        <v>0</v>
      </c>
      <c r="Q294" s="2">
        <v>0</v>
      </c>
      <c r="R294" s="133">
        <v>2027</v>
      </c>
      <c r="S294" s="133">
        <v>2027</v>
      </c>
    </row>
    <row r="295" spans="1:19" ht="33.75" customHeight="1">
      <c r="A295" s="158" t="s">
        <v>472</v>
      </c>
      <c r="B295" s="159"/>
      <c r="C295" s="159"/>
      <c r="D295" s="159"/>
      <c r="E295" s="159"/>
      <c r="F295" s="160"/>
      <c r="G295" s="3">
        <f>G296</f>
        <v>3890.8</v>
      </c>
      <c r="H295" s="3">
        <f t="shared" ref="H295:Q295" si="75">H296</f>
        <v>3486.9</v>
      </c>
      <c r="I295" s="3">
        <f t="shared" si="75"/>
        <v>3486.9</v>
      </c>
      <c r="J295" s="133">
        <f t="shared" si="75"/>
        <v>97</v>
      </c>
      <c r="K295" s="8">
        <f t="shared" si="75"/>
        <v>15432679.130000001</v>
      </c>
      <c r="L295" s="3">
        <f t="shared" si="75"/>
        <v>0</v>
      </c>
      <c r="M295" s="3">
        <f t="shared" si="75"/>
        <v>0</v>
      </c>
      <c r="N295" s="8">
        <f t="shared" si="75"/>
        <v>15432679.130000001</v>
      </c>
      <c r="O295" s="3">
        <f t="shared" si="75"/>
        <v>0</v>
      </c>
      <c r="P295" s="3">
        <f t="shared" si="75"/>
        <v>0</v>
      </c>
      <c r="Q295" s="3">
        <f t="shared" si="75"/>
        <v>0</v>
      </c>
      <c r="R295" s="133" t="s">
        <v>52</v>
      </c>
      <c r="S295" s="133" t="s">
        <v>52</v>
      </c>
    </row>
    <row r="296" spans="1:19" ht="18.75" customHeight="1">
      <c r="A296" s="76">
        <v>77</v>
      </c>
      <c r="B296" s="7" t="s">
        <v>454</v>
      </c>
      <c r="C296" s="95">
        <v>1989</v>
      </c>
      <c r="D296" s="76" t="s">
        <v>77</v>
      </c>
      <c r="E296" s="95">
        <v>5</v>
      </c>
      <c r="F296" s="95">
        <v>5</v>
      </c>
      <c r="G296" s="1">
        <v>3890.8</v>
      </c>
      <c r="H296" s="1">
        <v>3486.9</v>
      </c>
      <c r="I296" s="1">
        <v>3486.9</v>
      </c>
      <c r="J296" s="133">
        <v>97</v>
      </c>
      <c r="K296" s="8">
        <v>15432679.130000001</v>
      </c>
      <c r="L296" s="2">
        <v>0</v>
      </c>
      <c r="M296" s="2">
        <v>0</v>
      </c>
      <c r="N296" s="8">
        <v>15432679.130000001</v>
      </c>
      <c r="O296" s="1">
        <v>0</v>
      </c>
      <c r="P296" s="1">
        <v>0</v>
      </c>
      <c r="Q296" s="1">
        <v>0</v>
      </c>
      <c r="R296" s="133">
        <v>2027</v>
      </c>
      <c r="S296" s="133">
        <v>2027</v>
      </c>
    </row>
    <row r="297" spans="1:19" ht="32.25" customHeight="1">
      <c r="A297" s="158" t="s">
        <v>333</v>
      </c>
      <c r="B297" s="159"/>
      <c r="C297" s="159"/>
      <c r="D297" s="159"/>
      <c r="E297" s="159"/>
      <c r="F297" s="160"/>
      <c r="G297" s="8">
        <f>SUM(G298:G300)</f>
        <v>8354.4</v>
      </c>
      <c r="H297" s="8">
        <f t="shared" ref="H297:Q297" si="76">SUM(H298:H300)</f>
        <v>7641.3</v>
      </c>
      <c r="I297" s="8">
        <f t="shared" si="76"/>
        <v>7641.3</v>
      </c>
      <c r="J297" s="133">
        <f t="shared" si="76"/>
        <v>378</v>
      </c>
      <c r="K297" s="8">
        <f t="shared" si="76"/>
        <v>34732645.920000002</v>
      </c>
      <c r="L297" s="8">
        <f t="shared" si="76"/>
        <v>0</v>
      </c>
      <c r="M297" s="8">
        <f t="shared" si="76"/>
        <v>0</v>
      </c>
      <c r="N297" s="8">
        <f t="shared" si="76"/>
        <v>34732645.920000002</v>
      </c>
      <c r="O297" s="8">
        <f t="shared" si="76"/>
        <v>0</v>
      </c>
      <c r="P297" s="8">
        <f t="shared" si="76"/>
        <v>0</v>
      </c>
      <c r="Q297" s="8">
        <f t="shared" si="76"/>
        <v>0</v>
      </c>
      <c r="R297" s="133" t="s">
        <v>52</v>
      </c>
      <c r="S297" s="133" t="s">
        <v>52</v>
      </c>
    </row>
    <row r="298" spans="1:19" ht="18.75" customHeight="1">
      <c r="A298" s="76">
        <v>78</v>
      </c>
      <c r="B298" s="71" t="s">
        <v>546</v>
      </c>
      <c r="C298" s="64">
        <v>1985</v>
      </c>
      <c r="D298" s="76" t="s">
        <v>75</v>
      </c>
      <c r="E298" s="64">
        <v>2</v>
      </c>
      <c r="F298" s="64">
        <v>2</v>
      </c>
      <c r="G298" s="3">
        <v>691.1</v>
      </c>
      <c r="H298" s="3">
        <v>387.2</v>
      </c>
      <c r="I298" s="3">
        <v>387.2</v>
      </c>
      <c r="J298" s="128">
        <v>17</v>
      </c>
      <c r="K298" s="1">
        <v>7682044.7199999997</v>
      </c>
      <c r="L298" s="2">
        <v>0</v>
      </c>
      <c r="M298" s="2">
        <v>0</v>
      </c>
      <c r="N298" s="86">
        <v>7682044.7199999997</v>
      </c>
      <c r="O298" s="2">
        <v>0</v>
      </c>
      <c r="P298" s="2">
        <v>0</v>
      </c>
      <c r="Q298" s="2">
        <v>0</v>
      </c>
      <c r="R298" s="133">
        <v>2027</v>
      </c>
      <c r="S298" s="133">
        <v>2027</v>
      </c>
    </row>
    <row r="299" spans="1:19" ht="18.75" customHeight="1">
      <c r="A299" s="76">
        <v>79</v>
      </c>
      <c r="B299" s="59" t="s">
        <v>447</v>
      </c>
      <c r="C299" s="64">
        <v>1973</v>
      </c>
      <c r="D299" s="76" t="s">
        <v>75</v>
      </c>
      <c r="E299" s="64">
        <v>2</v>
      </c>
      <c r="F299" s="64">
        <v>1</v>
      </c>
      <c r="G299" s="3">
        <v>817</v>
      </c>
      <c r="H299" s="3">
        <v>458.6</v>
      </c>
      <c r="I299" s="3">
        <v>458.6</v>
      </c>
      <c r="J299" s="128">
        <v>35</v>
      </c>
      <c r="K299" s="1">
        <v>8673942.6500000004</v>
      </c>
      <c r="L299" s="2">
        <v>0</v>
      </c>
      <c r="M299" s="2">
        <v>0</v>
      </c>
      <c r="N299" s="86">
        <v>8673942.6500000004</v>
      </c>
      <c r="O299" s="2">
        <v>0</v>
      </c>
      <c r="P299" s="2">
        <v>0</v>
      </c>
      <c r="Q299" s="2">
        <v>0</v>
      </c>
      <c r="R299" s="133">
        <v>2027</v>
      </c>
      <c r="S299" s="133">
        <v>2027</v>
      </c>
    </row>
    <row r="300" spans="1:19" ht="18.75" customHeight="1">
      <c r="A300" s="76">
        <v>80</v>
      </c>
      <c r="B300" s="71" t="s">
        <v>564</v>
      </c>
      <c r="C300" s="64">
        <v>1987</v>
      </c>
      <c r="D300" s="76" t="s">
        <v>77</v>
      </c>
      <c r="E300" s="64">
        <v>9</v>
      </c>
      <c r="F300" s="64">
        <v>3</v>
      </c>
      <c r="G300" s="3">
        <v>6846.3</v>
      </c>
      <c r="H300" s="3">
        <v>6795.5</v>
      </c>
      <c r="I300" s="3">
        <v>6795.5</v>
      </c>
      <c r="J300" s="128">
        <v>326</v>
      </c>
      <c r="K300" s="1">
        <v>18376658.550000001</v>
      </c>
      <c r="L300" s="2">
        <v>0</v>
      </c>
      <c r="M300" s="2">
        <v>0</v>
      </c>
      <c r="N300" s="86">
        <v>18376658.550000001</v>
      </c>
      <c r="O300" s="2">
        <v>0</v>
      </c>
      <c r="P300" s="2">
        <v>0</v>
      </c>
      <c r="Q300" s="2">
        <v>0</v>
      </c>
      <c r="R300" s="133">
        <v>2027</v>
      </c>
      <c r="S300" s="133">
        <v>2027</v>
      </c>
    </row>
    <row r="301" spans="1:19" ht="38.25" customHeight="1">
      <c r="A301" s="164" t="s">
        <v>41</v>
      </c>
      <c r="B301" s="164"/>
      <c r="C301" s="164"/>
      <c r="D301" s="164"/>
      <c r="E301" s="164"/>
      <c r="F301" s="164"/>
      <c r="G301" s="164"/>
      <c r="H301" s="164"/>
      <c r="I301" s="164"/>
      <c r="J301" s="164"/>
      <c r="K301" s="164"/>
      <c r="L301" s="164"/>
      <c r="M301" s="164"/>
      <c r="N301" s="164"/>
      <c r="O301" s="164"/>
      <c r="P301" s="164"/>
      <c r="Q301" s="164"/>
      <c r="R301" s="164"/>
      <c r="S301" s="164"/>
    </row>
    <row r="302" spans="1:19" ht="18.75" customHeight="1">
      <c r="A302" s="161" t="s">
        <v>328</v>
      </c>
      <c r="B302" s="162"/>
      <c r="C302" s="162"/>
      <c r="D302" s="162"/>
      <c r="E302" s="162"/>
      <c r="F302" s="163"/>
      <c r="G302" s="3">
        <f>G304+G306</f>
        <v>0</v>
      </c>
      <c r="H302" s="3">
        <f t="shared" ref="H302:Q302" si="77">H304+H306</f>
        <v>0</v>
      </c>
      <c r="I302" s="3">
        <f t="shared" si="77"/>
        <v>0</v>
      </c>
      <c r="J302" s="13">
        <f t="shared" si="77"/>
        <v>0</v>
      </c>
      <c r="K302" s="3">
        <f t="shared" si="77"/>
        <v>0</v>
      </c>
      <c r="L302" s="3">
        <f t="shared" si="77"/>
        <v>0</v>
      </c>
      <c r="M302" s="3">
        <f t="shared" si="77"/>
        <v>0</v>
      </c>
      <c r="N302" s="3">
        <f t="shared" si="77"/>
        <v>0</v>
      </c>
      <c r="O302" s="3">
        <f t="shared" si="77"/>
        <v>0</v>
      </c>
      <c r="P302" s="3">
        <f t="shared" si="77"/>
        <v>0</v>
      </c>
      <c r="Q302" s="3">
        <f t="shared" si="77"/>
        <v>0</v>
      </c>
      <c r="R302" s="133" t="s">
        <v>52</v>
      </c>
      <c r="S302" s="133" t="s">
        <v>52</v>
      </c>
    </row>
    <row r="303" spans="1:19" ht="36.75" customHeight="1">
      <c r="A303" s="164" t="s">
        <v>19</v>
      </c>
      <c r="B303" s="164"/>
      <c r="C303" s="164"/>
      <c r="D303" s="164"/>
      <c r="E303" s="164"/>
      <c r="F303" s="164"/>
      <c r="G303" s="164"/>
      <c r="H303" s="164"/>
      <c r="I303" s="164"/>
      <c r="J303" s="164"/>
      <c r="K303" s="164"/>
      <c r="L303" s="164"/>
      <c r="M303" s="164"/>
      <c r="N303" s="164"/>
      <c r="O303" s="164"/>
      <c r="P303" s="164"/>
      <c r="Q303" s="164"/>
      <c r="R303" s="164"/>
      <c r="S303" s="164"/>
    </row>
    <row r="304" spans="1:19" ht="18.75" customHeight="1">
      <c r="A304" s="161" t="s">
        <v>328</v>
      </c>
      <c r="B304" s="162"/>
      <c r="C304" s="162"/>
      <c r="D304" s="162"/>
      <c r="E304" s="162"/>
      <c r="F304" s="163"/>
      <c r="G304" s="3">
        <v>0</v>
      </c>
      <c r="H304" s="3">
        <v>0</v>
      </c>
      <c r="I304" s="3">
        <v>0</v>
      </c>
      <c r="J304" s="1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133" t="s">
        <v>52</v>
      </c>
      <c r="S304" s="133" t="s">
        <v>52</v>
      </c>
    </row>
    <row r="305" spans="1:19" ht="44.25" customHeight="1">
      <c r="A305" s="164" t="s">
        <v>20</v>
      </c>
      <c r="B305" s="164"/>
      <c r="C305" s="164"/>
      <c r="D305" s="164"/>
      <c r="E305" s="164"/>
      <c r="F305" s="164"/>
      <c r="G305" s="164"/>
      <c r="H305" s="164"/>
      <c r="I305" s="164"/>
      <c r="J305" s="164"/>
      <c r="K305" s="164"/>
      <c r="L305" s="164"/>
      <c r="M305" s="164"/>
      <c r="N305" s="164"/>
      <c r="O305" s="164"/>
      <c r="P305" s="164"/>
      <c r="Q305" s="164"/>
      <c r="R305" s="164"/>
      <c r="S305" s="164"/>
    </row>
    <row r="306" spans="1:19" ht="18.75" customHeight="1">
      <c r="A306" s="161" t="s">
        <v>328</v>
      </c>
      <c r="B306" s="162"/>
      <c r="C306" s="162"/>
      <c r="D306" s="162"/>
      <c r="E306" s="162"/>
      <c r="F306" s="163"/>
      <c r="G306" s="3">
        <v>0</v>
      </c>
      <c r="H306" s="3">
        <v>0</v>
      </c>
      <c r="I306" s="3">
        <v>0</v>
      </c>
      <c r="J306" s="1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133" t="s">
        <v>52</v>
      </c>
      <c r="S306" s="133" t="s">
        <v>52</v>
      </c>
    </row>
    <row r="307" spans="1:19" ht="18.75" customHeight="1">
      <c r="A307" s="164" t="s">
        <v>649</v>
      </c>
      <c r="B307" s="164"/>
      <c r="C307" s="164"/>
      <c r="D307" s="164"/>
      <c r="E307" s="164"/>
      <c r="F307" s="164"/>
      <c r="G307" s="164"/>
      <c r="H307" s="164"/>
      <c r="I307" s="164"/>
      <c r="J307" s="164"/>
      <c r="K307" s="164"/>
      <c r="L307" s="164"/>
      <c r="M307" s="164"/>
      <c r="N307" s="164"/>
      <c r="O307" s="164"/>
      <c r="P307" s="164"/>
      <c r="Q307" s="164"/>
      <c r="R307" s="164"/>
      <c r="S307" s="164"/>
    </row>
    <row r="308" spans="1:19" ht="18.75" customHeight="1">
      <c r="A308" s="161" t="s">
        <v>328</v>
      </c>
      <c r="B308" s="162"/>
      <c r="C308" s="162"/>
      <c r="D308" s="162"/>
      <c r="E308" s="162"/>
      <c r="F308" s="163"/>
      <c r="G308" s="8">
        <f t="shared" ref="G308:Q308" si="78">G310+G415</f>
        <v>203977.40999999997</v>
      </c>
      <c r="H308" s="8">
        <f t="shared" si="78"/>
        <v>180012.64000000004</v>
      </c>
      <c r="I308" s="8">
        <f t="shared" si="78"/>
        <v>173864.42</v>
      </c>
      <c r="J308" s="58">
        <f t="shared" si="78"/>
        <v>7018</v>
      </c>
      <c r="K308" s="8">
        <f t="shared" si="78"/>
        <v>916128688.43000007</v>
      </c>
      <c r="L308" s="8">
        <f t="shared" si="78"/>
        <v>0</v>
      </c>
      <c r="M308" s="8">
        <f t="shared" si="78"/>
        <v>0</v>
      </c>
      <c r="N308" s="8">
        <f t="shared" si="78"/>
        <v>916128688.43000007</v>
      </c>
      <c r="O308" s="8">
        <f t="shared" si="78"/>
        <v>0</v>
      </c>
      <c r="P308" s="8">
        <f t="shared" si="78"/>
        <v>0</v>
      </c>
      <c r="Q308" s="8">
        <f t="shared" si="78"/>
        <v>0</v>
      </c>
      <c r="R308" s="133" t="s">
        <v>52</v>
      </c>
      <c r="S308" s="133" t="s">
        <v>52</v>
      </c>
    </row>
    <row r="309" spans="1:19" ht="44.25" customHeight="1">
      <c r="A309" s="164" t="s">
        <v>31</v>
      </c>
      <c r="B309" s="164"/>
      <c r="C309" s="164"/>
      <c r="D309" s="164"/>
      <c r="E309" s="164"/>
      <c r="F309" s="164"/>
      <c r="G309" s="164"/>
      <c r="H309" s="164"/>
      <c r="I309" s="164"/>
      <c r="J309" s="164"/>
      <c r="K309" s="164"/>
      <c r="L309" s="164"/>
      <c r="M309" s="164"/>
      <c r="N309" s="164"/>
      <c r="O309" s="164"/>
      <c r="P309" s="164"/>
      <c r="Q309" s="164"/>
      <c r="R309" s="164"/>
      <c r="S309" s="164"/>
    </row>
    <row r="310" spans="1:19" ht="18.75" customHeight="1">
      <c r="A310" s="161" t="s">
        <v>328</v>
      </c>
      <c r="B310" s="162"/>
      <c r="C310" s="162"/>
      <c r="D310" s="162"/>
      <c r="E310" s="162"/>
      <c r="F310" s="163"/>
      <c r="G310" s="8">
        <f>SUM(G311+G320+G325+G327+G329+G333+G339+G345+G347+G349+G351+G354+G356+G360+G377+G379+G382+G387+G389+G393+G395+G404+G406+G409+G412)</f>
        <v>203977.40999999997</v>
      </c>
      <c r="H310" s="8">
        <f t="shared" ref="H310:Q310" si="79">SUM(H311+H320+H325+H327+H329+H333+H339+H345+H347+H349+H351+H354+H356+H360+H377+H379+H382+H387+H389+H393+H395+H404+H406+H409+H412)</f>
        <v>180012.64000000004</v>
      </c>
      <c r="I310" s="8">
        <f t="shared" si="79"/>
        <v>173864.42</v>
      </c>
      <c r="J310" s="58">
        <f>SUM(J311+J320+J325+J327+J329+J333+J339+J345+J347+J349+J351+J354+J356+J360+J377+J379+J382+J387+J389+J393+J395+J404+J406+J409+J412)</f>
        <v>7018</v>
      </c>
      <c r="K310" s="8">
        <f t="shared" si="79"/>
        <v>916128688.43000007</v>
      </c>
      <c r="L310" s="8">
        <f t="shared" si="79"/>
        <v>0</v>
      </c>
      <c r="M310" s="8">
        <f t="shared" si="79"/>
        <v>0</v>
      </c>
      <c r="N310" s="8">
        <f t="shared" si="79"/>
        <v>916128688.43000007</v>
      </c>
      <c r="O310" s="8">
        <f t="shared" si="79"/>
        <v>0</v>
      </c>
      <c r="P310" s="8">
        <f t="shared" si="79"/>
        <v>0</v>
      </c>
      <c r="Q310" s="8">
        <f t="shared" si="79"/>
        <v>0</v>
      </c>
      <c r="R310" s="133" t="s">
        <v>52</v>
      </c>
      <c r="S310" s="133" t="s">
        <v>52</v>
      </c>
    </row>
    <row r="311" spans="1:19" ht="41.25" customHeight="1">
      <c r="A311" s="158" t="s">
        <v>475</v>
      </c>
      <c r="B311" s="159"/>
      <c r="C311" s="159"/>
      <c r="D311" s="159"/>
      <c r="E311" s="159"/>
      <c r="F311" s="160"/>
      <c r="G311" s="8">
        <f>SUM(G312:G319)</f>
        <v>44264.3</v>
      </c>
      <c r="H311" s="8">
        <f t="shared" ref="H311:Q311" si="80">SUM(H312:H319)</f>
        <v>42308.600000000006</v>
      </c>
      <c r="I311" s="8">
        <f t="shared" si="80"/>
        <v>40295.4</v>
      </c>
      <c r="J311" s="58">
        <f t="shared" si="80"/>
        <v>1675</v>
      </c>
      <c r="K311" s="8">
        <f t="shared" si="80"/>
        <v>279574637.33000004</v>
      </c>
      <c r="L311" s="8">
        <f t="shared" si="80"/>
        <v>0</v>
      </c>
      <c r="M311" s="8">
        <f t="shared" si="80"/>
        <v>0</v>
      </c>
      <c r="N311" s="8">
        <f t="shared" si="80"/>
        <v>279574637.33000004</v>
      </c>
      <c r="O311" s="8">
        <f t="shared" si="80"/>
        <v>0</v>
      </c>
      <c r="P311" s="8">
        <f t="shared" si="80"/>
        <v>0</v>
      </c>
      <c r="Q311" s="8">
        <f t="shared" si="80"/>
        <v>0</v>
      </c>
      <c r="R311" s="133" t="s">
        <v>52</v>
      </c>
      <c r="S311" s="133" t="s">
        <v>52</v>
      </c>
    </row>
    <row r="312" spans="1:19" ht="18.75" customHeight="1">
      <c r="A312" s="76">
        <v>1</v>
      </c>
      <c r="B312" s="121" t="s">
        <v>586</v>
      </c>
      <c r="C312" s="95">
        <v>1991</v>
      </c>
      <c r="D312" s="76" t="s">
        <v>77</v>
      </c>
      <c r="E312" s="95">
        <v>12</v>
      </c>
      <c r="F312" s="95">
        <v>1</v>
      </c>
      <c r="G312" s="8">
        <v>3604.3</v>
      </c>
      <c r="H312" s="8">
        <v>3604.3</v>
      </c>
      <c r="I312" s="8">
        <f>H312-118.8</f>
        <v>3485.5</v>
      </c>
      <c r="J312" s="133">
        <v>98</v>
      </c>
      <c r="K312" s="8">
        <v>15377511.100000001</v>
      </c>
      <c r="L312" s="2">
        <v>0</v>
      </c>
      <c r="M312" s="2">
        <v>0</v>
      </c>
      <c r="N312" s="72">
        <v>15377511.100000001</v>
      </c>
      <c r="O312" s="2">
        <v>0</v>
      </c>
      <c r="P312" s="2">
        <v>0</v>
      </c>
      <c r="Q312" s="2">
        <v>0</v>
      </c>
      <c r="R312" s="133">
        <v>2028</v>
      </c>
      <c r="S312" s="133">
        <v>2028</v>
      </c>
    </row>
    <row r="313" spans="1:19" ht="18.75" customHeight="1">
      <c r="A313" s="76">
        <v>2</v>
      </c>
      <c r="B313" s="121" t="s">
        <v>588</v>
      </c>
      <c r="C313" s="95">
        <v>1991</v>
      </c>
      <c r="D313" s="76" t="s">
        <v>77</v>
      </c>
      <c r="E313" s="95">
        <v>10</v>
      </c>
      <c r="F313" s="95">
        <v>2</v>
      </c>
      <c r="G313" s="8">
        <v>5710.8</v>
      </c>
      <c r="H313" s="8">
        <v>4983.5</v>
      </c>
      <c r="I313" s="8">
        <f>H313-458.1-0</f>
        <v>4525.3999999999996</v>
      </c>
      <c r="J313" s="133">
        <v>198</v>
      </c>
      <c r="K313" s="8">
        <v>15377511.100000001</v>
      </c>
      <c r="L313" s="2">
        <v>0</v>
      </c>
      <c r="M313" s="2">
        <v>0</v>
      </c>
      <c r="N313" s="72">
        <v>15377511.100000001</v>
      </c>
      <c r="O313" s="2">
        <v>0</v>
      </c>
      <c r="P313" s="2">
        <v>0</v>
      </c>
      <c r="Q313" s="2">
        <v>0</v>
      </c>
      <c r="R313" s="133">
        <v>2028</v>
      </c>
      <c r="S313" s="133">
        <v>2028</v>
      </c>
    </row>
    <row r="314" spans="1:19" ht="18.75" customHeight="1">
      <c r="A314" s="76">
        <v>3</v>
      </c>
      <c r="B314" s="121" t="s">
        <v>501</v>
      </c>
      <c r="C314" s="95">
        <v>1991</v>
      </c>
      <c r="D314" s="76" t="s">
        <v>77</v>
      </c>
      <c r="E314" s="95" t="s">
        <v>352</v>
      </c>
      <c r="F314" s="95">
        <v>8</v>
      </c>
      <c r="G314" s="8">
        <v>11674.1</v>
      </c>
      <c r="H314" s="8">
        <v>11674.1</v>
      </c>
      <c r="I314" s="8">
        <f>H314-282.6-450.2</f>
        <v>10941.3</v>
      </c>
      <c r="J314" s="133">
        <v>486</v>
      </c>
      <c r="K314" s="8">
        <v>30755022.200000003</v>
      </c>
      <c r="L314" s="2">
        <v>0</v>
      </c>
      <c r="M314" s="2">
        <v>0</v>
      </c>
      <c r="N314" s="72">
        <v>30755022.200000003</v>
      </c>
      <c r="O314" s="2">
        <v>0</v>
      </c>
      <c r="P314" s="2">
        <v>0</v>
      </c>
      <c r="Q314" s="2">
        <v>0</v>
      </c>
      <c r="R314" s="133">
        <v>2028</v>
      </c>
      <c r="S314" s="133">
        <v>2028</v>
      </c>
    </row>
    <row r="315" spans="1:19" ht="18.75" customHeight="1">
      <c r="A315" s="76">
        <v>4</v>
      </c>
      <c r="B315" s="121" t="s">
        <v>354</v>
      </c>
      <c r="C315" s="95">
        <v>1997</v>
      </c>
      <c r="D315" s="76" t="s">
        <v>77</v>
      </c>
      <c r="E315" s="95">
        <v>10</v>
      </c>
      <c r="F315" s="95">
        <v>4</v>
      </c>
      <c r="G315" s="8">
        <v>8990.9</v>
      </c>
      <c r="H315" s="8">
        <v>8939.5</v>
      </c>
      <c r="I315" s="8">
        <f>H315-224.5</f>
        <v>8715</v>
      </c>
      <c r="J315" s="133">
        <v>370</v>
      </c>
      <c r="K315" s="8">
        <v>30755022.200000003</v>
      </c>
      <c r="L315" s="2">
        <v>0</v>
      </c>
      <c r="M315" s="2">
        <v>0</v>
      </c>
      <c r="N315" s="72">
        <v>30755022.200000003</v>
      </c>
      <c r="O315" s="2">
        <v>0</v>
      </c>
      <c r="P315" s="2">
        <v>0</v>
      </c>
      <c r="Q315" s="2">
        <v>0</v>
      </c>
      <c r="R315" s="133">
        <v>2028</v>
      </c>
      <c r="S315" s="133">
        <v>2028</v>
      </c>
    </row>
    <row r="316" spans="1:19" ht="18.75" customHeight="1">
      <c r="A316" s="76">
        <v>5</v>
      </c>
      <c r="B316" s="121" t="s">
        <v>587</v>
      </c>
      <c r="C316" s="95">
        <v>1979</v>
      </c>
      <c r="D316" s="76" t="s">
        <v>77</v>
      </c>
      <c r="E316" s="95">
        <v>9</v>
      </c>
      <c r="F316" s="95">
        <v>1</v>
      </c>
      <c r="G316" s="8">
        <v>2176.6999999999998</v>
      </c>
      <c r="H316" s="8">
        <v>1935.7</v>
      </c>
      <c r="I316" s="8">
        <v>1935.7</v>
      </c>
      <c r="J316" s="133">
        <v>79</v>
      </c>
      <c r="K316" s="8">
        <v>6388951.5600000005</v>
      </c>
      <c r="L316" s="2">
        <v>0</v>
      </c>
      <c r="M316" s="2">
        <v>0</v>
      </c>
      <c r="N316" s="72">
        <v>6388951.5600000005</v>
      </c>
      <c r="O316" s="2">
        <v>0</v>
      </c>
      <c r="P316" s="2">
        <v>0</v>
      </c>
      <c r="Q316" s="2">
        <v>0</v>
      </c>
      <c r="R316" s="133">
        <v>2028</v>
      </c>
      <c r="S316" s="133">
        <v>2028</v>
      </c>
    </row>
    <row r="317" spans="1:19" ht="18.75" customHeight="1">
      <c r="A317" s="76">
        <v>6</v>
      </c>
      <c r="B317" s="121" t="s">
        <v>566</v>
      </c>
      <c r="C317" s="95">
        <v>1993</v>
      </c>
      <c r="D317" s="76" t="s">
        <v>75</v>
      </c>
      <c r="E317" s="95">
        <v>9</v>
      </c>
      <c r="F317" s="95">
        <v>1</v>
      </c>
      <c r="G317" s="8">
        <v>4135.2</v>
      </c>
      <c r="H317" s="8">
        <v>3709.2</v>
      </c>
      <c r="I317" s="8">
        <f>H317-264</f>
        <v>3445.2</v>
      </c>
      <c r="J317" s="133">
        <v>115</v>
      </c>
      <c r="K317" s="8">
        <v>79003407.230000004</v>
      </c>
      <c r="L317" s="2">
        <v>0</v>
      </c>
      <c r="M317" s="2">
        <v>0</v>
      </c>
      <c r="N317" s="72">
        <v>79003407.230000004</v>
      </c>
      <c r="O317" s="2">
        <v>0</v>
      </c>
      <c r="P317" s="2">
        <v>0</v>
      </c>
      <c r="Q317" s="2">
        <v>0</v>
      </c>
      <c r="R317" s="133">
        <v>2028</v>
      </c>
      <c r="S317" s="133">
        <v>2028</v>
      </c>
    </row>
    <row r="318" spans="1:19" ht="18.75" customHeight="1">
      <c r="A318" s="76">
        <v>7</v>
      </c>
      <c r="B318" s="121" t="s">
        <v>337</v>
      </c>
      <c r="C318" s="95">
        <v>1978</v>
      </c>
      <c r="D318" s="76" t="s">
        <v>77</v>
      </c>
      <c r="E318" s="95">
        <v>9</v>
      </c>
      <c r="F318" s="95">
        <v>3</v>
      </c>
      <c r="G318" s="8">
        <v>5723.4</v>
      </c>
      <c r="H318" s="8">
        <v>5723.4</v>
      </c>
      <c r="I318" s="8">
        <f>H318-166</f>
        <v>5557.4</v>
      </c>
      <c r="J318" s="133">
        <v>233</v>
      </c>
      <c r="K318" s="8">
        <v>79834208.019999996</v>
      </c>
      <c r="L318" s="2">
        <v>0</v>
      </c>
      <c r="M318" s="2">
        <v>0</v>
      </c>
      <c r="N318" s="72">
        <v>79834208.019999996</v>
      </c>
      <c r="O318" s="2">
        <v>0</v>
      </c>
      <c r="P318" s="2">
        <v>0</v>
      </c>
      <c r="Q318" s="2">
        <v>0</v>
      </c>
      <c r="R318" s="133">
        <v>2028</v>
      </c>
      <c r="S318" s="133">
        <v>2028</v>
      </c>
    </row>
    <row r="319" spans="1:19" ht="18.75" customHeight="1">
      <c r="A319" s="76">
        <v>8</v>
      </c>
      <c r="B319" s="121" t="s">
        <v>589</v>
      </c>
      <c r="C319" s="95">
        <v>1957</v>
      </c>
      <c r="D319" s="76" t="s">
        <v>75</v>
      </c>
      <c r="E319" s="95">
        <v>4</v>
      </c>
      <c r="F319" s="95">
        <v>4</v>
      </c>
      <c r="G319" s="8">
        <v>2248.9</v>
      </c>
      <c r="H319" s="8">
        <v>1738.9</v>
      </c>
      <c r="I319" s="8">
        <f>H319-49</f>
        <v>1689.9</v>
      </c>
      <c r="J319" s="133">
        <v>96</v>
      </c>
      <c r="K319" s="8">
        <v>22083003.919999998</v>
      </c>
      <c r="L319" s="2">
        <v>0</v>
      </c>
      <c r="M319" s="2">
        <v>0</v>
      </c>
      <c r="N319" s="72">
        <v>22083003.919999998</v>
      </c>
      <c r="O319" s="2">
        <v>0</v>
      </c>
      <c r="P319" s="2">
        <v>0</v>
      </c>
      <c r="Q319" s="2">
        <v>0</v>
      </c>
      <c r="R319" s="133">
        <v>2028</v>
      </c>
      <c r="S319" s="133">
        <v>2028</v>
      </c>
    </row>
    <row r="320" spans="1:19" ht="32.25" customHeight="1">
      <c r="A320" s="158" t="s">
        <v>489</v>
      </c>
      <c r="B320" s="159"/>
      <c r="C320" s="159"/>
      <c r="D320" s="159"/>
      <c r="E320" s="159"/>
      <c r="F320" s="160"/>
      <c r="G320" s="8">
        <f>SUM(G321:G324)</f>
        <v>2202.2999999999997</v>
      </c>
      <c r="H320" s="63">
        <f t="shared" ref="H320:Q320" si="81">SUM(H321:H324)</f>
        <v>2202.2999999999997</v>
      </c>
      <c r="I320" s="63">
        <f t="shared" si="81"/>
        <v>1862</v>
      </c>
      <c r="J320" s="133">
        <f t="shared" si="81"/>
        <v>82</v>
      </c>
      <c r="K320" s="8">
        <f t="shared" si="81"/>
        <v>21525446.109999999</v>
      </c>
      <c r="L320" s="3">
        <f t="shared" ref="L320:M320" si="82">L321</f>
        <v>0</v>
      </c>
      <c r="M320" s="3">
        <f t="shared" si="82"/>
        <v>0</v>
      </c>
      <c r="N320" s="80">
        <f t="shared" si="81"/>
        <v>21525446.109999999</v>
      </c>
      <c r="O320" s="3">
        <f t="shared" si="81"/>
        <v>0</v>
      </c>
      <c r="P320" s="3">
        <f t="shared" si="81"/>
        <v>0</v>
      </c>
      <c r="Q320" s="3">
        <f t="shared" si="81"/>
        <v>0</v>
      </c>
      <c r="R320" s="8" t="s">
        <v>52</v>
      </c>
      <c r="S320" s="8" t="s">
        <v>52</v>
      </c>
    </row>
    <row r="321" spans="1:19" s="74" customFormat="1" ht="18.75" customHeight="1">
      <c r="A321" s="76">
        <v>9</v>
      </c>
      <c r="B321" s="121" t="s">
        <v>733</v>
      </c>
      <c r="C321" s="76">
        <v>1961</v>
      </c>
      <c r="D321" s="76" t="s">
        <v>75</v>
      </c>
      <c r="E321" s="76">
        <v>2</v>
      </c>
      <c r="F321" s="76">
        <v>2</v>
      </c>
      <c r="G321" s="3">
        <v>669.3</v>
      </c>
      <c r="H321" s="3">
        <v>669.3</v>
      </c>
      <c r="I321" s="3">
        <v>543.1</v>
      </c>
      <c r="J321" s="133">
        <v>29</v>
      </c>
      <c r="K321" s="8">
        <f>L321+M321+N321+O321+P321+Q321</f>
        <v>4152797.59</v>
      </c>
      <c r="L321" s="2">
        <v>0</v>
      </c>
      <c r="M321" s="2">
        <v>0</v>
      </c>
      <c r="N321" s="8">
        <v>4152797.59</v>
      </c>
      <c r="O321" s="2">
        <v>0</v>
      </c>
      <c r="P321" s="2">
        <v>0</v>
      </c>
      <c r="Q321" s="2">
        <v>0</v>
      </c>
      <c r="R321" s="133">
        <v>2028</v>
      </c>
      <c r="S321" s="133">
        <v>2028</v>
      </c>
    </row>
    <row r="322" spans="1:19" ht="18.75" customHeight="1">
      <c r="A322" s="76">
        <v>10</v>
      </c>
      <c r="B322" s="121" t="s">
        <v>58</v>
      </c>
      <c r="C322" s="76">
        <v>1960</v>
      </c>
      <c r="D322" s="76" t="s">
        <v>75</v>
      </c>
      <c r="E322" s="76">
        <v>2</v>
      </c>
      <c r="F322" s="76">
        <v>2</v>
      </c>
      <c r="G322" s="3">
        <v>683.9</v>
      </c>
      <c r="H322" s="3">
        <v>683.9</v>
      </c>
      <c r="I322" s="3">
        <v>636.70000000000005</v>
      </c>
      <c r="J322" s="133">
        <v>20</v>
      </c>
      <c r="K322" s="8">
        <f>L322+M322+N322+O322+P322+Q322</f>
        <v>9252228.0999999996</v>
      </c>
      <c r="L322" s="2">
        <v>0</v>
      </c>
      <c r="M322" s="2">
        <v>0</v>
      </c>
      <c r="N322" s="8">
        <v>9252228.0999999996</v>
      </c>
      <c r="O322" s="2">
        <v>0</v>
      </c>
      <c r="P322" s="2">
        <v>0</v>
      </c>
      <c r="Q322" s="2">
        <v>0</v>
      </c>
      <c r="R322" s="133">
        <v>2028</v>
      </c>
      <c r="S322" s="133">
        <v>2028</v>
      </c>
    </row>
    <row r="323" spans="1:19" ht="18.75" customHeight="1">
      <c r="A323" s="76">
        <v>11</v>
      </c>
      <c r="B323" s="121" t="s">
        <v>59</v>
      </c>
      <c r="C323" s="76">
        <v>1917</v>
      </c>
      <c r="D323" s="76" t="s">
        <v>75</v>
      </c>
      <c r="E323" s="76">
        <v>2</v>
      </c>
      <c r="F323" s="76">
        <v>1</v>
      </c>
      <c r="G323" s="3">
        <v>400.3</v>
      </c>
      <c r="H323" s="3">
        <v>400.3</v>
      </c>
      <c r="I323" s="3">
        <v>278.3</v>
      </c>
      <c r="J323" s="133">
        <v>13</v>
      </c>
      <c r="K323" s="8">
        <f>L323+M323+N323+O323+P323+Q323</f>
        <v>3079867.73</v>
      </c>
      <c r="L323" s="2">
        <v>0</v>
      </c>
      <c r="M323" s="2">
        <v>0</v>
      </c>
      <c r="N323" s="8">
        <v>3079867.73</v>
      </c>
      <c r="O323" s="2">
        <v>0</v>
      </c>
      <c r="P323" s="2">
        <v>0</v>
      </c>
      <c r="Q323" s="2">
        <v>0</v>
      </c>
      <c r="R323" s="133">
        <v>2028</v>
      </c>
      <c r="S323" s="133">
        <v>2028</v>
      </c>
    </row>
    <row r="324" spans="1:19" ht="18.75" customHeight="1">
      <c r="A324" s="76">
        <v>12</v>
      </c>
      <c r="B324" s="121" t="s">
        <v>734</v>
      </c>
      <c r="C324" s="95">
        <v>1959</v>
      </c>
      <c r="D324" s="76" t="s">
        <v>75</v>
      </c>
      <c r="E324" s="95">
        <v>2</v>
      </c>
      <c r="F324" s="95">
        <v>2</v>
      </c>
      <c r="G324" s="3">
        <v>448.8</v>
      </c>
      <c r="H324" s="3">
        <v>448.8</v>
      </c>
      <c r="I324" s="3">
        <v>403.9</v>
      </c>
      <c r="J324" s="133">
        <v>20</v>
      </c>
      <c r="K324" s="8">
        <f>SUM(L324:Q324)</f>
        <v>5040552.6900000004</v>
      </c>
      <c r="L324" s="2">
        <v>0</v>
      </c>
      <c r="M324" s="2">
        <v>0</v>
      </c>
      <c r="N324" s="8">
        <v>5040552.6900000004</v>
      </c>
      <c r="O324" s="2">
        <v>0</v>
      </c>
      <c r="P324" s="2">
        <v>0</v>
      </c>
      <c r="Q324" s="2">
        <v>0</v>
      </c>
      <c r="R324" s="133">
        <v>2028</v>
      </c>
      <c r="S324" s="133">
        <v>2028</v>
      </c>
    </row>
    <row r="325" spans="1:19" ht="39.75" customHeight="1">
      <c r="A325" s="158" t="s">
        <v>153</v>
      </c>
      <c r="B325" s="159"/>
      <c r="C325" s="159"/>
      <c r="D325" s="159"/>
      <c r="E325" s="159"/>
      <c r="F325" s="160"/>
      <c r="G325" s="8">
        <f>G326</f>
        <v>3892.1</v>
      </c>
      <c r="H325" s="8">
        <f t="shared" ref="H325:Q325" si="83">H326</f>
        <v>3578.7000000000003</v>
      </c>
      <c r="I325" s="8">
        <f t="shared" si="83"/>
        <v>2957.8</v>
      </c>
      <c r="J325" s="13">
        <f t="shared" si="83"/>
        <v>116</v>
      </c>
      <c r="K325" s="8">
        <f t="shared" si="83"/>
        <v>17339134.239999998</v>
      </c>
      <c r="L325" s="3">
        <f t="shared" si="83"/>
        <v>0</v>
      </c>
      <c r="M325" s="3">
        <f t="shared" si="83"/>
        <v>0</v>
      </c>
      <c r="N325" s="63">
        <f t="shared" si="83"/>
        <v>17339134.239999998</v>
      </c>
      <c r="O325" s="3">
        <f t="shared" si="83"/>
        <v>0</v>
      </c>
      <c r="P325" s="3">
        <f t="shared" si="83"/>
        <v>0</v>
      </c>
      <c r="Q325" s="3">
        <f t="shared" si="83"/>
        <v>0</v>
      </c>
      <c r="R325" s="133" t="s">
        <v>52</v>
      </c>
      <c r="S325" s="133" t="s">
        <v>52</v>
      </c>
    </row>
    <row r="326" spans="1:19" ht="18.75" customHeight="1">
      <c r="A326" s="76">
        <v>13</v>
      </c>
      <c r="B326" s="121" t="s">
        <v>515</v>
      </c>
      <c r="C326" s="95">
        <v>1966</v>
      </c>
      <c r="D326" s="76" t="s">
        <v>75</v>
      </c>
      <c r="E326" s="95">
        <v>5</v>
      </c>
      <c r="F326" s="95">
        <v>4</v>
      </c>
      <c r="G326" s="8">
        <v>3892.1</v>
      </c>
      <c r="H326" s="8">
        <f>2957.8+620.9</f>
        <v>3578.7000000000003</v>
      </c>
      <c r="I326" s="8">
        <v>2957.8</v>
      </c>
      <c r="J326" s="133">
        <v>116</v>
      </c>
      <c r="K326" s="8">
        <v>17339134.239999998</v>
      </c>
      <c r="L326" s="8">
        <v>0</v>
      </c>
      <c r="M326" s="8">
        <v>0</v>
      </c>
      <c r="N326" s="8">
        <f>K326</f>
        <v>17339134.239999998</v>
      </c>
      <c r="O326" s="8">
        <v>0</v>
      </c>
      <c r="P326" s="8">
        <v>0</v>
      </c>
      <c r="Q326" s="8">
        <v>0</v>
      </c>
      <c r="R326" s="133">
        <v>2028</v>
      </c>
      <c r="S326" s="133">
        <v>2028</v>
      </c>
    </row>
    <row r="327" spans="1:19" ht="38.25" customHeight="1">
      <c r="A327" s="158" t="s">
        <v>222</v>
      </c>
      <c r="B327" s="159"/>
      <c r="C327" s="159"/>
      <c r="D327" s="159"/>
      <c r="E327" s="159"/>
      <c r="F327" s="160"/>
      <c r="G327" s="8">
        <f>G328</f>
        <v>1422.4</v>
      </c>
      <c r="H327" s="8">
        <f t="shared" ref="H327:Q327" si="84">H328</f>
        <v>1228.3</v>
      </c>
      <c r="I327" s="8">
        <f t="shared" si="84"/>
        <v>1228.3</v>
      </c>
      <c r="J327" s="13">
        <f t="shared" si="84"/>
        <v>55</v>
      </c>
      <c r="K327" s="8">
        <f t="shared" si="84"/>
        <v>6881368.7700000005</v>
      </c>
      <c r="L327" s="8">
        <f t="shared" si="84"/>
        <v>0</v>
      </c>
      <c r="M327" s="8">
        <f t="shared" si="84"/>
        <v>0</v>
      </c>
      <c r="N327" s="8">
        <f t="shared" si="84"/>
        <v>6881368.7700000005</v>
      </c>
      <c r="O327" s="8">
        <f t="shared" si="84"/>
        <v>0</v>
      </c>
      <c r="P327" s="8">
        <f t="shared" si="84"/>
        <v>0</v>
      </c>
      <c r="Q327" s="8">
        <f t="shared" si="84"/>
        <v>0</v>
      </c>
      <c r="R327" s="133" t="s">
        <v>52</v>
      </c>
      <c r="S327" s="133" t="s">
        <v>52</v>
      </c>
    </row>
    <row r="328" spans="1:19" ht="18.75" customHeight="1">
      <c r="A328" s="76">
        <v>14</v>
      </c>
      <c r="B328" s="121" t="s">
        <v>547</v>
      </c>
      <c r="C328" s="76">
        <v>1988</v>
      </c>
      <c r="D328" s="76" t="s">
        <v>77</v>
      </c>
      <c r="E328" s="76">
        <v>3</v>
      </c>
      <c r="F328" s="76">
        <v>3</v>
      </c>
      <c r="G328" s="1">
        <v>1422.4</v>
      </c>
      <c r="H328" s="1">
        <v>1228.3</v>
      </c>
      <c r="I328" s="1">
        <v>1228.3</v>
      </c>
      <c r="J328" s="128">
        <v>55</v>
      </c>
      <c r="K328" s="8">
        <v>6881368.7700000005</v>
      </c>
      <c r="L328" s="2">
        <v>0</v>
      </c>
      <c r="M328" s="2">
        <v>0</v>
      </c>
      <c r="N328" s="8">
        <v>6881368.7700000005</v>
      </c>
      <c r="O328" s="2">
        <v>0</v>
      </c>
      <c r="P328" s="2">
        <v>0</v>
      </c>
      <c r="Q328" s="2">
        <v>0</v>
      </c>
      <c r="R328" s="128">
        <v>2028</v>
      </c>
      <c r="S328" s="128">
        <v>2028</v>
      </c>
    </row>
    <row r="329" spans="1:19" ht="35.25" customHeight="1">
      <c r="A329" s="158" t="s">
        <v>130</v>
      </c>
      <c r="B329" s="159"/>
      <c r="C329" s="159"/>
      <c r="D329" s="159"/>
      <c r="E329" s="159"/>
      <c r="F329" s="160"/>
      <c r="G329" s="8">
        <f>G330+G331+G332</f>
        <v>7239.7000000000007</v>
      </c>
      <c r="H329" s="8">
        <f t="shared" ref="H329:N329" si="85">H330+H331+H332</f>
        <v>7239.7000000000007</v>
      </c>
      <c r="I329" s="8">
        <f t="shared" si="85"/>
        <v>7239.7000000000007</v>
      </c>
      <c r="J329" s="13">
        <f t="shared" si="85"/>
        <v>274</v>
      </c>
      <c r="K329" s="8">
        <f t="shared" si="85"/>
        <v>33477501.5</v>
      </c>
      <c r="L329" s="3">
        <f t="shared" ref="L329:M329" si="86">L330</f>
        <v>0</v>
      </c>
      <c r="M329" s="3">
        <f t="shared" si="86"/>
        <v>0</v>
      </c>
      <c r="N329" s="80">
        <f t="shared" si="85"/>
        <v>33477501.5</v>
      </c>
      <c r="O329" s="3">
        <f t="shared" ref="O329:Q329" si="87">O330</f>
        <v>0</v>
      </c>
      <c r="P329" s="3">
        <f t="shared" si="87"/>
        <v>0</v>
      </c>
      <c r="Q329" s="3">
        <f t="shared" si="87"/>
        <v>0</v>
      </c>
      <c r="R329" s="133" t="s">
        <v>52</v>
      </c>
      <c r="S329" s="133" t="s">
        <v>52</v>
      </c>
    </row>
    <row r="330" spans="1:19" ht="18.75" customHeight="1">
      <c r="A330" s="120">
        <v>15</v>
      </c>
      <c r="B330" s="69" t="s">
        <v>736</v>
      </c>
      <c r="C330" s="66">
        <v>1985</v>
      </c>
      <c r="D330" s="66" t="s">
        <v>75</v>
      </c>
      <c r="E330" s="70">
        <v>5</v>
      </c>
      <c r="F330" s="70">
        <v>6</v>
      </c>
      <c r="G330" s="1">
        <v>4020.9</v>
      </c>
      <c r="H330" s="1">
        <v>4020.9</v>
      </c>
      <c r="I330" s="1">
        <v>4020.9</v>
      </c>
      <c r="J330" s="66">
        <v>147</v>
      </c>
      <c r="K330" s="37">
        <v>16583305.1</v>
      </c>
      <c r="L330" s="3">
        <v>0</v>
      </c>
      <c r="M330" s="3">
        <v>0</v>
      </c>
      <c r="N330" s="37">
        <v>16583305.1</v>
      </c>
      <c r="O330" s="3">
        <v>0</v>
      </c>
      <c r="P330" s="3">
        <v>0</v>
      </c>
      <c r="Q330" s="3">
        <v>0</v>
      </c>
      <c r="R330" s="68">
        <v>2028</v>
      </c>
      <c r="S330" s="68">
        <v>2028</v>
      </c>
    </row>
    <row r="331" spans="1:19" ht="18.75" customHeight="1">
      <c r="A331" s="120">
        <v>16</v>
      </c>
      <c r="B331" s="69" t="s">
        <v>737</v>
      </c>
      <c r="C331" s="66">
        <v>1956</v>
      </c>
      <c r="D331" s="66" t="s">
        <v>132</v>
      </c>
      <c r="E331" s="70">
        <v>2</v>
      </c>
      <c r="F331" s="70">
        <v>2</v>
      </c>
      <c r="G331" s="1">
        <v>422.4</v>
      </c>
      <c r="H331" s="1">
        <v>422.4</v>
      </c>
      <c r="I331" s="1">
        <v>422.4</v>
      </c>
      <c r="J331" s="66">
        <v>20</v>
      </c>
      <c r="K331" s="37">
        <v>5273005.37</v>
      </c>
      <c r="L331" s="3">
        <v>0</v>
      </c>
      <c r="M331" s="3">
        <v>0</v>
      </c>
      <c r="N331" s="37">
        <v>5273005.37</v>
      </c>
      <c r="O331" s="3">
        <v>0</v>
      </c>
      <c r="P331" s="3">
        <v>0</v>
      </c>
      <c r="Q331" s="3">
        <v>0</v>
      </c>
      <c r="R331" s="68">
        <v>2028</v>
      </c>
      <c r="S331" s="68">
        <v>2028</v>
      </c>
    </row>
    <row r="332" spans="1:19" ht="18.75" customHeight="1">
      <c r="A332" s="120">
        <v>17</v>
      </c>
      <c r="B332" s="69" t="s">
        <v>738</v>
      </c>
      <c r="C332" s="66">
        <v>1986</v>
      </c>
      <c r="D332" s="66" t="s">
        <v>77</v>
      </c>
      <c r="E332" s="70">
        <v>5</v>
      </c>
      <c r="F332" s="70">
        <v>4</v>
      </c>
      <c r="G332" s="1">
        <v>2796.4</v>
      </c>
      <c r="H332" s="1">
        <v>2796.4</v>
      </c>
      <c r="I332" s="1">
        <v>2796.4</v>
      </c>
      <c r="J332" s="66">
        <v>107</v>
      </c>
      <c r="K332" s="37">
        <v>11621191.029999999</v>
      </c>
      <c r="L332" s="3">
        <v>0</v>
      </c>
      <c r="M332" s="3">
        <v>0</v>
      </c>
      <c r="N332" s="37">
        <v>11621191.029999999</v>
      </c>
      <c r="O332" s="3">
        <v>0</v>
      </c>
      <c r="P332" s="3">
        <v>0</v>
      </c>
      <c r="Q332" s="3">
        <v>0</v>
      </c>
      <c r="R332" s="68">
        <v>2028</v>
      </c>
      <c r="S332" s="68">
        <v>2028</v>
      </c>
    </row>
    <row r="333" spans="1:19" ht="33.75" customHeight="1">
      <c r="A333" s="158" t="s">
        <v>73</v>
      </c>
      <c r="B333" s="159"/>
      <c r="C333" s="159"/>
      <c r="D333" s="159"/>
      <c r="E333" s="159"/>
      <c r="F333" s="160"/>
      <c r="G333" s="8">
        <f>SUM(G334:G338)</f>
        <v>10782.5</v>
      </c>
      <c r="H333" s="8">
        <f t="shared" ref="H333:N333" si="88">SUM(H334:H338)</f>
        <v>8381.1</v>
      </c>
      <c r="I333" s="8">
        <f t="shared" si="88"/>
        <v>8357.1</v>
      </c>
      <c r="J333" s="13">
        <f t="shared" si="88"/>
        <v>367</v>
      </c>
      <c r="K333" s="8">
        <f>K334+K335+K336+K337+K338</f>
        <v>37157716.109999999</v>
      </c>
      <c r="L333" s="3">
        <f t="shared" si="88"/>
        <v>0</v>
      </c>
      <c r="M333" s="3">
        <f t="shared" si="88"/>
        <v>0</v>
      </c>
      <c r="N333" s="80">
        <f t="shared" si="88"/>
        <v>37157716.109999999</v>
      </c>
      <c r="O333" s="3">
        <v>0</v>
      </c>
      <c r="P333" s="3">
        <v>0</v>
      </c>
      <c r="Q333" s="3">
        <v>0</v>
      </c>
      <c r="R333" s="133" t="s">
        <v>52</v>
      </c>
      <c r="S333" s="133" t="s">
        <v>52</v>
      </c>
    </row>
    <row r="334" spans="1:19" ht="18.75" customHeight="1">
      <c r="A334" s="76">
        <v>18</v>
      </c>
      <c r="B334" s="121" t="s">
        <v>208</v>
      </c>
      <c r="C334" s="95">
        <v>1971</v>
      </c>
      <c r="D334" s="66" t="s">
        <v>75</v>
      </c>
      <c r="E334" s="95">
        <v>2</v>
      </c>
      <c r="F334" s="95">
        <v>2</v>
      </c>
      <c r="G334" s="1">
        <v>805</v>
      </c>
      <c r="H334" s="1">
        <v>745.2</v>
      </c>
      <c r="I334" s="1">
        <v>745.2</v>
      </c>
      <c r="J334" s="66">
        <v>27</v>
      </c>
      <c r="K334" s="8">
        <f>L334+M334+N334+O334+P334+Q334</f>
        <v>6625802.1200000001</v>
      </c>
      <c r="L334" s="3">
        <v>0</v>
      </c>
      <c r="M334" s="3">
        <v>0</v>
      </c>
      <c r="N334" s="8">
        <v>6625802.1200000001</v>
      </c>
      <c r="O334" s="3">
        <v>0</v>
      </c>
      <c r="P334" s="3">
        <v>0</v>
      </c>
      <c r="Q334" s="3">
        <v>0</v>
      </c>
      <c r="R334" s="133">
        <v>2028</v>
      </c>
      <c r="S334" s="133">
        <v>2028</v>
      </c>
    </row>
    <row r="335" spans="1:19" ht="18.75" customHeight="1">
      <c r="A335" s="76">
        <v>19</v>
      </c>
      <c r="B335" s="121" t="s">
        <v>209</v>
      </c>
      <c r="C335" s="95">
        <v>1946</v>
      </c>
      <c r="D335" s="66" t="s">
        <v>132</v>
      </c>
      <c r="E335" s="95">
        <v>2</v>
      </c>
      <c r="F335" s="95">
        <v>2</v>
      </c>
      <c r="G335" s="1">
        <v>481.1</v>
      </c>
      <c r="H335" s="1">
        <v>481.1</v>
      </c>
      <c r="I335" s="1">
        <v>481.1</v>
      </c>
      <c r="J335" s="66">
        <v>23</v>
      </c>
      <c r="K335" s="8">
        <f t="shared" ref="K335:K338" si="89">L335+M335+N335+O335+P335+Q335</f>
        <v>2768891.04</v>
      </c>
      <c r="L335" s="3">
        <v>0</v>
      </c>
      <c r="M335" s="3">
        <v>0</v>
      </c>
      <c r="N335" s="8">
        <v>2768891.04</v>
      </c>
      <c r="O335" s="3">
        <v>0</v>
      </c>
      <c r="P335" s="3">
        <v>0</v>
      </c>
      <c r="Q335" s="3">
        <v>0</v>
      </c>
      <c r="R335" s="133">
        <v>2028</v>
      </c>
      <c r="S335" s="133">
        <v>2028</v>
      </c>
    </row>
    <row r="336" spans="1:19" ht="18.75" customHeight="1">
      <c r="A336" s="76">
        <v>20</v>
      </c>
      <c r="B336" s="121" t="s">
        <v>210</v>
      </c>
      <c r="C336" s="95">
        <v>1938</v>
      </c>
      <c r="D336" s="66" t="s">
        <v>132</v>
      </c>
      <c r="E336" s="95">
        <v>2</v>
      </c>
      <c r="F336" s="95">
        <v>2</v>
      </c>
      <c r="G336" s="1">
        <v>479.9</v>
      </c>
      <c r="H336" s="1">
        <v>479.9</v>
      </c>
      <c r="I336" s="1">
        <v>479.9</v>
      </c>
      <c r="J336" s="66">
        <v>18</v>
      </c>
      <c r="K336" s="8">
        <f t="shared" si="89"/>
        <v>3531947.6</v>
      </c>
      <c r="L336" s="3">
        <v>0</v>
      </c>
      <c r="M336" s="3">
        <v>0</v>
      </c>
      <c r="N336" s="8">
        <v>3531947.6</v>
      </c>
      <c r="O336" s="3">
        <v>0</v>
      </c>
      <c r="P336" s="3">
        <v>0</v>
      </c>
      <c r="Q336" s="3">
        <v>0</v>
      </c>
      <c r="R336" s="133">
        <v>2028</v>
      </c>
      <c r="S336" s="133">
        <v>2028</v>
      </c>
    </row>
    <row r="337" spans="1:19" ht="18.75" customHeight="1">
      <c r="A337" s="76">
        <v>21</v>
      </c>
      <c r="B337" s="121" t="s">
        <v>211</v>
      </c>
      <c r="C337" s="95">
        <v>1989</v>
      </c>
      <c r="D337" s="95" t="s">
        <v>77</v>
      </c>
      <c r="E337" s="95">
        <v>9</v>
      </c>
      <c r="F337" s="95">
        <v>2</v>
      </c>
      <c r="G337" s="1">
        <v>4455.3999999999996</v>
      </c>
      <c r="H337" s="1">
        <v>3928</v>
      </c>
      <c r="I337" s="1">
        <v>3928</v>
      </c>
      <c r="J337" s="66">
        <v>165</v>
      </c>
      <c r="K337" s="8">
        <f t="shared" si="89"/>
        <v>12777903.109999999</v>
      </c>
      <c r="L337" s="3">
        <v>0</v>
      </c>
      <c r="M337" s="3">
        <v>0</v>
      </c>
      <c r="N337" s="8">
        <v>12777903.109999999</v>
      </c>
      <c r="O337" s="3">
        <v>0</v>
      </c>
      <c r="P337" s="3">
        <v>0</v>
      </c>
      <c r="Q337" s="3">
        <v>0</v>
      </c>
      <c r="R337" s="133">
        <v>2028</v>
      </c>
      <c r="S337" s="133">
        <v>2028</v>
      </c>
    </row>
    <row r="338" spans="1:19" ht="18.75" customHeight="1">
      <c r="A338" s="76">
        <v>22</v>
      </c>
      <c r="B338" s="121" t="s">
        <v>212</v>
      </c>
      <c r="C338" s="95">
        <v>1977</v>
      </c>
      <c r="D338" s="95" t="s">
        <v>77</v>
      </c>
      <c r="E338" s="95">
        <v>5</v>
      </c>
      <c r="F338" s="95">
        <v>6</v>
      </c>
      <c r="G338" s="1">
        <v>4561.1000000000004</v>
      </c>
      <c r="H338" s="1">
        <v>2746.9</v>
      </c>
      <c r="I338" s="1">
        <v>2722.9</v>
      </c>
      <c r="J338" s="66">
        <v>134</v>
      </c>
      <c r="K338" s="8">
        <f t="shared" si="89"/>
        <v>11453172.24</v>
      </c>
      <c r="L338" s="3">
        <v>0</v>
      </c>
      <c r="M338" s="3">
        <v>0</v>
      </c>
      <c r="N338" s="8">
        <v>11453172.24</v>
      </c>
      <c r="O338" s="3">
        <v>0</v>
      </c>
      <c r="P338" s="3">
        <v>0</v>
      </c>
      <c r="Q338" s="3">
        <v>0</v>
      </c>
      <c r="R338" s="133">
        <v>2028</v>
      </c>
      <c r="S338" s="133">
        <v>2028</v>
      </c>
    </row>
    <row r="339" spans="1:19" ht="44.25" customHeight="1">
      <c r="A339" s="158" t="s">
        <v>284</v>
      </c>
      <c r="B339" s="159"/>
      <c r="C339" s="159"/>
      <c r="D339" s="159"/>
      <c r="E339" s="159"/>
      <c r="F339" s="160"/>
      <c r="G339" s="8">
        <f>G340+G341+G342+G343+G344</f>
        <v>8837.1</v>
      </c>
      <c r="H339" s="8">
        <f t="shared" ref="H339:Q339" si="90">H340+H341+H342+H343+H344</f>
        <v>7766.4</v>
      </c>
      <c r="I339" s="8">
        <f t="shared" si="90"/>
        <v>7766.4</v>
      </c>
      <c r="J339" s="66">
        <f t="shared" si="90"/>
        <v>213</v>
      </c>
      <c r="K339" s="8">
        <f t="shared" si="90"/>
        <v>47809871.170000002</v>
      </c>
      <c r="L339" s="3">
        <f t="shared" si="90"/>
        <v>0</v>
      </c>
      <c r="M339" s="3">
        <f t="shared" si="90"/>
        <v>0</v>
      </c>
      <c r="N339" s="63">
        <f t="shared" si="90"/>
        <v>47809871.170000002</v>
      </c>
      <c r="O339" s="3">
        <f t="shared" si="90"/>
        <v>0</v>
      </c>
      <c r="P339" s="3">
        <f t="shared" si="90"/>
        <v>0</v>
      </c>
      <c r="Q339" s="3">
        <f t="shared" si="90"/>
        <v>0</v>
      </c>
      <c r="R339" s="133" t="s">
        <v>52</v>
      </c>
      <c r="S339" s="133" t="s">
        <v>52</v>
      </c>
    </row>
    <row r="340" spans="1:19" ht="18.75" customHeight="1">
      <c r="A340" s="76">
        <v>23</v>
      </c>
      <c r="B340" s="121" t="s">
        <v>300</v>
      </c>
      <c r="C340" s="76">
        <v>1959</v>
      </c>
      <c r="D340" s="66" t="s">
        <v>75</v>
      </c>
      <c r="E340" s="76">
        <v>2</v>
      </c>
      <c r="F340" s="76">
        <v>1</v>
      </c>
      <c r="G340" s="1">
        <v>495.9</v>
      </c>
      <c r="H340" s="1">
        <v>454</v>
      </c>
      <c r="I340" s="1">
        <v>454</v>
      </c>
      <c r="J340" s="58">
        <v>23</v>
      </c>
      <c r="K340" s="8">
        <v>7677055.3799999999</v>
      </c>
      <c r="L340" s="3">
        <v>0</v>
      </c>
      <c r="M340" s="3">
        <v>0</v>
      </c>
      <c r="N340" s="8">
        <v>7677055.3799999999</v>
      </c>
      <c r="O340" s="3">
        <v>0</v>
      </c>
      <c r="P340" s="3">
        <v>0</v>
      </c>
      <c r="Q340" s="3">
        <v>0</v>
      </c>
      <c r="R340" s="133">
        <v>2028</v>
      </c>
      <c r="S340" s="133">
        <v>2028</v>
      </c>
    </row>
    <row r="341" spans="1:19" ht="18.75" customHeight="1">
      <c r="A341" s="76">
        <v>24</v>
      </c>
      <c r="B341" s="121" t="s">
        <v>301</v>
      </c>
      <c r="C341" s="76">
        <v>1987</v>
      </c>
      <c r="D341" s="66" t="s">
        <v>75</v>
      </c>
      <c r="E341" s="76">
        <v>2</v>
      </c>
      <c r="F341" s="76">
        <v>1</v>
      </c>
      <c r="G341" s="1">
        <v>366.1</v>
      </c>
      <c r="H341" s="1">
        <v>366.1</v>
      </c>
      <c r="I341" s="1">
        <v>366.1</v>
      </c>
      <c r="J341" s="58">
        <v>17</v>
      </c>
      <c r="K341" s="8">
        <v>4306771.38</v>
      </c>
      <c r="L341" s="3">
        <v>0</v>
      </c>
      <c r="M341" s="3">
        <v>0</v>
      </c>
      <c r="N341" s="8">
        <v>4306771.38</v>
      </c>
      <c r="O341" s="3">
        <v>0</v>
      </c>
      <c r="P341" s="3">
        <v>0</v>
      </c>
      <c r="Q341" s="3">
        <v>0</v>
      </c>
      <c r="R341" s="133">
        <v>2028</v>
      </c>
      <c r="S341" s="133">
        <v>2028</v>
      </c>
    </row>
    <row r="342" spans="1:19" ht="31.5" customHeight="1">
      <c r="A342" s="76">
        <v>25</v>
      </c>
      <c r="B342" s="121" t="s">
        <v>502</v>
      </c>
      <c r="C342" s="76">
        <v>1964</v>
      </c>
      <c r="D342" s="66" t="s">
        <v>75</v>
      </c>
      <c r="E342" s="76">
        <v>2</v>
      </c>
      <c r="F342" s="76">
        <v>2</v>
      </c>
      <c r="G342" s="1">
        <v>619</v>
      </c>
      <c r="H342" s="1">
        <v>619</v>
      </c>
      <c r="I342" s="1">
        <v>619</v>
      </c>
      <c r="J342" s="58">
        <v>17</v>
      </c>
      <c r="K342" s="8">
        <v>10169804.439999999</v>
      </c>
      <c r="L342" s="3">
        <v>0</v>
      </c>
      <c r="M342" s="3">
        <v>0</v>
      </c>
      <c r="N342" s="8">
        <v>10169804.439999999</v>
      </c>
      <c r="O342" s="3">
        <v>0</v>
      </c>
      <c r="P342" s="3">
        <v>0</v>
      </c>
      <c r="Q342" s="3">
        <v>0</v>
      </c>
      <c r="R342" s="133">
        <v>2028</v>
      </c>
      <c r="S342" s="133">
        <v>2028</v>
      </c>
    </row>
    <row r="343" spans="1:19" ht="41.25" customHeight="1">
      <c r="A343" s="76">
        <v>26</v>
      </c>
      <c r="B343" s="121" t="s">
        <v>302</v>
      </c>
      <c r="C343" s="76">
        <v>1918</v>
      </c>
      <c r="D343" s="66" t="s">
        <v>75</v>
      </c>
      <c r="E343" s="76">
        <v>2</v>
      </c>
      <c r="F343" s="76">
        <v>2</v>
      </c>
      <c r="G343" s="1">
        <v>440.9</v>
      </c>
      <c r="H343" s="1">
        <v>440.9</v>
      </c>
      <c r="I343" s="1">
        <v>440.9</v>
      </c>
      <c r="J343" s="58">
        <v>17</v>
      </c>
      <c r="K343" s="8">
        <v>12878336.859999999</v>
      </c>
      <c r="L343" s="3">
        <v>0</v>
      </c>
      <c r="M343" s="3">
        <v>0</v>
      </c>
      <c r="N343" s="8">
        <v>12878336.859999999</v>
      </c>
      <c r="O343" s="3">
        <v>0</v>
      </c>
      <c r="P343" s="3">
        <v>0</v>
      </c>
      <c r="Q343" s="3">
        <v>0</v>
      </c>
      <c r="R343" s="133">
        <v>2028</v>
      </c>
      <c r="S343" s="133">
        <v>2028</v>
      </c>
    </row>
    <row r="344" spans="1:19" ht="24" customHeight="1">
      <c r="A344" s="76">
        <v>27</v>
      </c>
      <c r="B344" s="121" t="s">
        <v>299</v>
      </c>
      <c r="C344" s="76">
        <v>1999</v>
      </c>
      <c r="D344" s="66" t="s">
        <v>75</v>
      </c>
      <c r="E344" s="76">
        <v>9</v>
      </c>
      <c r="F344" s="76">
        <v>4</v>
      </c>
      <c r="G344" s="1">
        <v>6915.2</v>
      </c>
      <c r="H344" s="1">
        <v>5886.4</v>
      </c>
      <c r="I344" s="1">
        <v>5886.4</v>
      </c>
      <c r="J344" s="58">
        <v>139</v>
      </c>
      <c r="K344" s="8">
        <v>12777903.110000001</v>
      </c>
      <c r="L344" s="3">
        <v>0</v>
      </c>
      <c r="M344" s="3">
        <v>0</v>
      </c>
      <c r="N344" s="8">
        <v>12777903.109999999</v>
      </c>
      <c r="O344" s="3">
        <v>0</v>
      </c>
      <c r="P344" s="3">
        <v>0</v>
      </c>
      <c r="Q344" s="3">
        <v>0</v>
      </c>
      <c r="R344" s="133">
        <v>2028</v>
      </c>
      <c r="S344" s="133">
        <v>2028</v>
      </c>
    </row>
    <row r="345" spans="1:19" ht="42.75" customHeight="1">
      <c r="A345" s="158" t="s">
        <v>67</v>
      </c>
      <c r="B345" s="159"/>
      <c r="C345" s="159"/>
      <c r="D345" s="159"/>
      <c r="E345" s="159"/>
      <c r="F345" s="160"/>
      <c r="G345" s="3">
        <f>G346</f>
        <v>506.7</v>
      </c>
      <c r="H345" s="3">
        <f t="shared" ref="H345:Q351" si="91">H346</f>
        <v>447.1</v>
      </c>
      <c r="I345" s="3">
        <f t="shared" si="91"/>
        <v>447.1</v>
      </c>
      <c r="J345" s="13">
        <f t="shared" si="91"/>
        <v>11</v>
      </c>
      <c r="K345" s="8">
        <f t="shared" si="91"/>
        <v>7944681.8099999996</v>
      </c>
      <c r="L345" s="3">
        <f t="shared" si="91"/>
        <v>0</v>
      </c>
      <c r="M345" s="3">
        <f t="shared" si="91"/>
        <v>0</v>
      </c>
      <c r="N345" s="63">
        <f t="shared" si="91"/>
        <v>7944681.8099999996</v>
      </c>
      <c r="O345" s="3">
        <f t="shared" si="91"/>
        <v>0</v>
      </c>
      <c r="P345" s="3">
        <f t="shared" si="91"/>
        <v>0</v>
      </c>
      <c r="Q345" s="3">
        <f t="shared" si="91"/>
        <v>0</v>
      </c>
      <c r="R345" s="8" t="s">
        <v>52</v>
      </c>
      <c r="S345" s="8" t="s">
        <v>52</v>
      </c>
    </row>
    <row r="346" spans="1:19" ht="18.75" customHeight="1">
      <c r="A346" s="76">
        <v>28</v>
      </c>
      <c r="B346" s="121" t="s">
        <v>503</v>
      </c>
      <c r="C346" s="76">
        <v>1968</v>
      </c>
      <c r="D346" s="76" t="s">
        <v>75</v>
      </c>
      <c r="E346" s="76">
        <v>2</v>
      </c>
      <c r="F346" s="76">
        <v>2</v>
      </c>
      <c r="G346" s="3">
        <v>506.7</v>
      </c>
      <c r="H346" s="3">
        <v>447.1</v>
      </c>
      <c r="I346" s="3">
        <v>447.1</v>
      </c>
      <c r="J346" s="133">
        <v>11</v>
      </c>
      <c r="K346" s="8">
        <v>7944681.8099999996</v>
      </c>
      <c r="L346" s="3">
        <v>0</v>
      </c>
      <c r="M346" s="3">
        <v>0</v>
      </c>
      <c r="N346" s="8">
        <v>7944681.8099999996</v>
      </c>
      <c r="O346" s="3">
        <v>0</v>
      </c>
      <c r="P346" s="3">
        <v>0</v>
      </c>
      <c r="Q346" s="3">
        <v>0</v>
      </c>
      <c r="R346" s="133">
        <v>2028</v>
      </c>
      <c r="S346" s="133">
        <v>2028</v>
      </c>
    </row>
    <row r="347" spans="1:19" ht="30.75" customHeight="1">
      <c r="A347" s="158" t="s">
        <v>116</v>
      </c>
      <c r="B347" s="159"/>
      <c r="C347" s="159"/>
      <c r="D347" s="159"/>
      <c r="E347" s="159"/>
      <c r="F347" s="160"/>
      <c r="G347" s="3">
        <f>G348</f>
        <v>513.79999999999995</v>
      </c>
      <c r="H347" s="3">
        <f t="shared" ref="H347:Q347" si="92">H348</f>
        <v>513.79999999999995</v>
      </c>
      <c r="I347" s="3">
        <f t="shared" si="92"/>
        <v>449.1</v>
      </c>
      <c r="J347" s="13">
        <f t="shared" si="92"/>
        <v>29</v>
      </c>
      <c r="K347" s="8">
        <f t="shared" si="92"/>
        <v>7126509.5700000003</v>
      </c>
      <c r="L347" s="3">
        <f t="shared" si="92"/>
        <v>0</v>
      </c>
      <c r="M347" s="3">
        <f t="shared" si="92"/>
        <v>0</v>
      </c>
      <c r="N347" s="63">
        <f t="shared" si="92"/>
        <v>7126509.5700000003</v>
      </c>
      <c r="O347" s="3">
        <f t="shared" si="92"/>
        <v>0</v>
      </c>
      <c r="P347" s="3">
        <f t="shared" si="92"/>
        <v>0</v>
      </c>
      <c r="Q347" s="3">
        <f t="shared" si="92"/>
        <v>0</v>
      </c>
      <c r="R347" s="133" t="s">
        <v>52</v>
      </c>
      <c r="S347" s="133" t="s">
        <v>52</v>
      </c>
    </row>
    <row r="348" spans="1:19" ht="18.75" customHeight="1">
      <c r="A348" s="76">
        <v>29</v>
      </c>
      <c r="B348" s="121" t="s">
        <v>120</v>
      </c>
      <c r="C348" s="76">
        <v>1966</v>
      </c>
      <c r="D348" s="76" t="s">
        <v>74</v>
      </c>
      <c r="E348" s="76">
        <v>2</v>
      </c>
      <c r="F348" s="76">
        <v>2</v>
      </c>
      <c r="G348" s="3">
        <v>513.79999999999995</v>
      </c>
      <c r="H348" s="3">
        <v>513.79999999999995</v>
      </c>
      <c r="I348" s="3">
        <v>449.1</v>
      </c>
      <c r="J348" s="133">
        <v>29</v>
      </c>
      <c r="K348" s="8">
        <f>SUM(L348:Q348)</f>
        <v>7126509.5700000003</v>
      </c>
      <c r="L348" s="3">
        <v>0</v>
      </c>
      <c r="M348" s="3">
        <v>0</v>
      </c>
      <c r="N348" s="8">
        <v>7126509.5700000003</v>
      </c>
      <c r="O348" s="3">
        <v>0</v>
      </c>
      <c r="P348" s="3">
        <v>0</v>
      </c>
      <c r="Q348" s="3">
        <v>0</v>
      </c>
      <c r="R348" s="133">
        <v>2028</v>
      </c>
      <c r="S348" s="133">
        <v>2028</v>
      </c>
    </row>
    <row r="349" spans="1:19" ht="39.75" customHeight="1">
      <c r="A349" s="158" t="s">
        <v>271</v>
      </c>
      <c r="B349" s="159"/>
      <c r="C349" s="159"/>
      <c r="D349" s="159"/>
      <c r="E349" s="159"/>
      <c r="F349" s="160"/>
      <c r="G349" s="3">
        <f>G350</f>
        <v>516.20000000000005</v>
      </c>
      <c r="H349" s="3">
        <f t="shared" ref="H349:Q349" si="93">H350</f>
        <v>287.3</v>
      </c>
      <c r="I349" s="3">
        <f t="shared" si="93"/>
        <v>287.3</v>
      </c>
      <c r="J349" s="13">
        <f t="shared" si="93"/>
        <v>28</v>
      </c>
      <c r="K349" s="8">
        <f t="shared" si="93"/>
        <v>6575963.7699999996</v>
      </c>
      <c r="L349" s="3">
        <f t="shared" si="93"/>
        <v>0</v>
      </c>
      <c r="M349" s="3">
        <f t="shared" si="93"/>
        <v>0</v>
      </c>
      <c r="N349" s="63">
        <f t="shared" si="93"/>
        <v>6575963.7699999996</v>
      </c>
      <c r="O349" s="3">
        <f t="shared" si="93"/>
        <v>0</v>
      </c>
      <c r="P349" s="3">
        <f t="shared" si="93"/>
        <v>0</v>
      </c>
      <c r="Q349" s="3">
        <f t="shared" si="93"/>
        <v>0</v>
      </c>
      <c r="R349" s="8" t="s">
        <v>52</v>
      </c>
      <c r="S349" s="8" t="s">
        <v>52</v>
      </c>
    </row>
    <row r="350" spans="1:19" ht="18.75" customHeight="1">
      <c r="A350" s="76">
        <v>30</v>
      </c>
      <c r="B350" s="14" t="s">
        <v>277</v>
      </c>
      <c r="C350" s="95">
        <v>1973</v>
      </c>
      <c r="D350" s="121" t="s">
        <v>86</v>
      </c>
      <c r="E350" s="95">
        <v>2</v>
      </c>
      <c r="F350" s="95">
        <v>2</v>
      </c>
      <c r="G350" s="8">
        <v>516.20000000000005</v>
      </c>
      <c r="H350" s="8">
        <v>287.3</v>
      </c>
      <c r="I350" s="8">
        <v>287.3</v>
      </c>
      <c r="J350" s="58">
        <v>28</v>
      </c>
      <c r="K350" s="8">
        <v>6575963.7699999996</v>
      </c>
      <c r="L350" s="8">
        <v>0</v>
      </c>
      <c r="M350" s="8">
        <v>0</v>
      </c>
      <c r="N350" s="8">
        <v>6575963.7699999996</v>
      </c>
      <c r="O350" s="8">
        <v>0</v>
      </c>
      <c r="P350" s="8">
        <v>0</v>
      </c>
      <c r="Q350" s="8">
        <v>0</v>
      </c>
      <c r="R350" s="133">
        <v>2028</v>
      </c>
      <c r="S350" s="133">
        <v>2028</v>
      </c>
    </row>
    <row r="351" spans="1:19" ht="36.75" customHeight="1">
      <c r="A351" s="158" t="s">
        <v>76</v>
      </c>
      <c r="B351" s="159"/>
      <c r="C351" s="159"/>
      <c r="D351" s="159"/>
      <c r="E351" s="159"/>
      <c r="F351" s="160"/>
      <c r="G351" s="8">
        <f>SUM(G352:G353)</f>
        <v>4170.8999999999996</v>
      </c>
      <c r="H351" s="8">
        <f t="shared" ref="H351:N351" si="94">SUM(H352:H353)</f>
        <v>3679.9</v>
      </c>
      <c r="I351" s="8">
        <f t="shared" si="94"/>
        <v>3656.5</v>
      </c>
      <c r="J351" s="13">
        <f t="shared" si="94"/>
        <v>147</v>
      </c>
      <c r="K351" s="8">
        <f t="shared" si="94"/>
        <v>22615876.66</v>
      </c>
      <c r="L351" s="3">
        <f t="shared" si="91"/>
        <v>0</v>
      </c>
      <c r="M351" s="3">
        <f t="shared" si="91"/>
        <v>0</v>
      </c>
      <c r="N351" s="63">
        <f t="shared" si="94"/>
        <v>22615876.66</v>
      </c>
      <c r="O351" s="3">
        <f t="shared" si="91"/>
        <v>0</v>
      </c>
      <c r="P351" s="3">
        <f t="shared" si="91"/>
        <v>0</v>
      </c>
      <c r="Q351" s="3">
        <f t="shared" si="91"/>
        <v>0</v>
      </c>
      <c r="R351" s="133" t="s">
        <v>52</v>
      </c>
      <c r="S351" s="133" t="s">
        <v>52</v>
      </c>
    </row>
    <row r="352" spans="1:19" ht="18.75" customHeight="1">
      <c r="A352" s="76">
        <v>31</v>
      </c>
      <c r="B352" s="121" t="s">
        <v>92</v>
      </c>
      <c r="C352" s="76">
        <v>1976</v>
      </c>
      <c r="D352" s="76" t="s">
        <v>74</v>
      </c>
      <c r="E352" s="76">
        <v>5</v>
      </c>
      <c r="F352" s="76">
        <v>4</v>
      </c>
      <c r="G352" s="1">
        <v>3441.2</v>
      </c>
      <c r="H352" s="1">
        <v>3178.4</v>
      </c>
      <c r="I352" s="1">
        <v>3178.4</v>
      </c>
      <c r="J352" s="133">
        <v>126</v>
      </c>
      <c r="K352" s="8">
        <f>L352+M352+N352+O352+P352+Q352</f>
        <v>9616878.5099999998</v>
      </c>
      <c r="L352" s="3">
        <v>0</v>
      </c>
      <c r="M352" s="3">
        <v>0</v>
      </c>
      <c r="N352" s="8">
        <v>9616878.5099999998</v>
      </c>
      <c r="O352" s="3">
        <v>0</v>
      </c>
      <c r="P352" s="3">
        <v>0</v>
      </c>
      <c r="Q352" s="3">
        <v>0</v>
      </c>
      <c r="R352" s="133">
        <v>2028</v>
      </c>
      <c r="S352" s="133">
        <v>2028</v>
      </c>
    </row>
    <row r="353" spans="1:19" ht="18.75" customHeight="1">
      <c r="A353" s="76">
        <v>32</v>
      </c>
      <c r="B353" s="121" t="s">
        <v>504</v>
      </c>
      <c r="C353" s="76">
        <v>1970</v>
      </c>
      <c r="D353" s="76" t="s">
        <v>75</v>
      </c>
      <c r="E353" s="76">
        <v>2</v>
      </c>
      <c r="F353" s="76">
        <v>2</v>
      </c>
      <c r="G353" s="3">
        <v>729.7</v>
      </c>
      <c r="H353" s="3">
        <v>501.5</v>
      </c>
      <c r="I353" s="3">
        <v>478.1</v>
      </c>
      <c r="J353" s="133">
        <v>21</v>
      </c>
      <c r="K353" s="8">
        <v>12998998.15</v>
      </c>
      <c r="L353" s="3">
        <v>0</v>
      </c>
      <c r="M353" s="3">
        <v>0</v>
      </c>
      <c r="N353" s="63">
        <v>12998998.15</v>
      </c>
      <c r="O353" s="3">
        <v>0</v>
      </c>
      <c r="P353" s="3">
        <v>0</v>
      </c>
      <c r="Q353" s="3">
        <v>0</v>
      </c>
      <c r="R353" s="133">
        <v>2028</v>
      </c>
      <c r="S353" s="133">
        <v>2028</v>
      </c>
    </row>
    <row r="354" spans="1:19" ht="36.75" customHeight="1">
      <c r="A354" s="158" t="s">
        <v>270</v>
      </c>
      <c r="B354" s="159"/>
      <c r="C354" s="159"/>
      <c r="D354" s="159"/>
      <c r="E354" s="159"/>
      <c r="F354" s="160"/>
      <c r="G354" s="8">
        <f>G355</f>
        <v>10519.5</v>
      </c>
      <c r="H354" s="8">
        <f t="shared" ref="H354:Q354" si="95">H355</f>
        <v>9593.1</v>
      </c>
      <c r="I354" s="8">
        <f t="shared" si="95"/>
        <v>9458.1</v>
      </c>
      <c r="J354" s="13">
        <f t="shared" si="95"/>
        <v>332</v>
      </c>
      <c r="K354" s="8">
        <f t="shared" si="95"/>
        <v>25906886.289999999</v>
      </c>
      <c r="L354" s="3">
        <f t="shared" si="95"/>
        <v>0</v>
      </c>
      <c r="M354" s="3">
        <f t="shared" si="95"/>
        <v>0</v>
      </c>
      <c r="N354" s="63">
        <f t="shared" si="95"/>
        <v>25906886.289999999</v>
      </c>
      <c r="O354" s="3">
        <f t="shared" si="95"/>
        <v>0</v>
      </c>
      <c r="P354" s="3">
        <f t="shared" si="95"/>
        <v>0</v>
      </c>
      <c r="Q354" s="3">
        <f t="shared" si="95"/>
        <v>0</v>
      </c>
      <c r="R354" s="133" t="s">
        <v>52</v>
      </c>
      <c r="S354" s="133" t="s">
        <v>52</v>
      </c>
    </row>
    <row r="355" spans="1:19" ht="18.75" customHeight="1">
      <c r="A355" s="76">
        <v>33</v>
      </c>
      <c r="B355" s="71" t="s">
        <v>739</v>
      </c>
      <c r="C355" s="34">
        <v>1987</v>
      </c>
      <c r="D355" s="76" t="s">
        <v>75</v>
      </c>
      <c r="E355" s="35">
        <v>5</v>
      </c>
      <c r="F355" s="35">
        <v>12</v>
      </c>
      <c r="G355" s="1">
        <v>10519.5</v>
      </c>
      <c r="H355" s="1">
        <v>9593.1</v>
      </c>
      <c r="I355" s="1">
        <v>9458.1</v>
      </c>
      <c r="J355" s="34">
        <v>332</v>
      </c>
      <c r="K355" s="8">
        <v>25906886.289999999</v>
      </c>
      <c r="L355" s="1">
        <v>0</v>
      </c>
      <c r="M355" s="1">
        <v>0</v>
      </c>
      <c r="N355" s="1">
        <v>25906886.289999999</v>
      </c>
      <c r="O355" s="1"/>
      <c r="P355" s="1">
        <v>0</v>
      </c>
      <c r="Q355" s="1">
        <v>0</v>
      </c>
      <c r="R355" s="128">
        <v>2028</v>
      </c>
      <c r="S355" s="128">
        <v>2028</v>
      </c>
    </row>
    <row r="356" spans="1:19" ht="35.25" customHeight="1">
      <c r="A356" s="158" t="s">
        <v>161</v>
      </c>
      <c r="B356" s="159"/>
      <c r="C356" s="159"/>
      <c r="D356" s="159"/>
      <c r="E356" s="159"/>
      <c r="F356" s="160"/>
      <c r="G356" s="8">
        <f>G357+G358+G359</f>
        <v>1664.7</v>
      </c>
      <c r="H356" s="8">
        <f t="shared" ref="H356:Q356" si="96">H357+H358+H359</f>
        <v>1362</v>
      </c>
      <c r="I356" s="8">
        <f t="shared" si="96"/>
        <v>1279.3</v>
      </c>
      <c r="J356" s="13">
        <f t="shared" si="96"/>
        <v>36</v>
      </c>
      <c r="K356" s="8">
        <f t="shared" si="96"/>
        <v>25422981.789999999</v>
      </c>
      <c r="L356" s="3">
        <f t="shared" si="96"/>
        <v>0</v>
      </c>
      <c r="M356" s="3">
        <f t="shared" si="96"/>
        <v>0</v>
      </c>
      <c r="N356" s="63">
        <f t="shared" si="96"/>
        <v>25422981.789999999</v>
      </c>
      <c r="O356" s="3">
        <f t="shared" si="96"/>
        <v>0</v>
      </c>
      <c r="P356" s="3">
        <f t="shared" si="96"/>
        <v>0</v>
      </c>
      <c r="Q356" s="3">
        <f t="shared" si="96"/>
        <v>0</v>
      </c>
      <c r="R356" s="133" t="s">
        <v>52</v>
      </c>
      <c r="S356" s="133" t="s">
        <v>52</v>
      </c>
    </row>
    <row r="357" spans="1:19" ht="18.75" customHeight="1">
      <c r="A357" s="76">
        <v>34</v>
      </c>
      <c r="B357" s="121" t="s">
        <v>169</v>
      </c>
      <c r="C357" s="95">
        <v>1959</v>
      </c>
      <c r="D357" s="76" t="s">
        <v>75</v>
      </c>
      <c r="E357" s="95">
        <v>2</v>
      </c>
      <c r="F357" s="95">
        <v>1</v>
      </c>
      <c r="G357" s="3">
        <v>454.2</v>
      </c>
      <c r="H357" s="3">
        <v>454.2</v>
      </c>
      <c r="I357" s="3">
        <v>418.1</v>
      </c>
      <c r="J357" s="133">
        <v>8</v>
      </c>
      <c r="K357" s="8">
        <v>10705057.300000001</v>
      </c>
      <c r="L357" s="3">
        <v>0</v>
      </c>
      <c r="M357" s="3">
        <v>0</v>
      </c>
      <c r="N357" s="8">
        <f>K357</f>
        <v>10705057.300000001</v>
      </c>
      <c r="O357" s="3">
        <v>0</v>
      </c>
      <c r="P357" s="3">
        <v>0</v>
      </c>
      <c r="Q357" s="3">
        <v>0</v>
      </c>
      <c r="R357" s="133">
        <v>2028</v>
      </c>
      <c r="S357" s="133">
        <v>2028</v>
      </c>
    </row>
    <row r="358" spans="1:19" ht="18.75" customHeight="1">
      <c r="A358" s="76">
        <v>35</v>
      </c>
      <c r="B358" s="121" t="s">
        <v>170</v>
      </c>
      <c r="C358" s="95">
        <v>1964</v>
      </c>
      <c r="D358" s="76" t="s">
        <v>75</v>
      </c>
      <c r="E358" s="95">
        <v>2</v>
      </c>
      <c r="F358" s="95">
        <v>2</v>
      </c>
      <c r="G358" s="3">
        <v>703.3</v>
      </c>
      <c r="H358" s="3">
        <v>400.6</v>
      </c>
      <c r="I358" s="3">
        <v>354</v>
      </c>
      <c r="J358" s="133">
        <v>12</v>
      </c>
      <c r="K358" s="8">
        <v>7799398.8899999997</v>
      </c>
      <c r="L358" s="3">
        <v>0</v>
      </c>
      <c r="M358" s="3">
        <v>0</v>
      </c>
      <c r="N358" s="8">
        <f t="shared" ref="N358:N359" si="97">K358</f>
        <v>7799398.8899999997</v>
      </c>
      <c r="O358" s="3">
        <v>0</v>
      </c>
      <c r="P358" s="3">
        <v>0</v>
      </c>
      <c r="Q358" s="3">
        <v>0</v>
      </c>
      <c r="R358" s="133">
        <v>2028</v>
      </c>
      <c r="S358" s="133">
        <v>2028</v>
      </c>
    </row>
    <row r="359" spans="1:19" ht="18.75" customHeight="1">
      <c r="A359" s="76">
        <v>36</v>
      </c>
      <c r="B359" s="121" t="s">
        <v>171</v>
      </c>
      <c r="C359" s="95">
        <v>1968</v>
      </c>
      <c r="D359" s="76" t="s">
        <v>75</v>
      </c>
      <c r="E359" s="95">
        <v>2</v>
      </c>
      <c r="F359" s="95">
        <v>2</v>
      </c>
      <c r="G359" s="3">
        <v>507.2</v>
      </c>
      <c r="H359" s="3">
        <v>507.2</v>
      </c>
      <c r="I359" s="3">
        <v>507.2</v>
      </c>
      <c r="J359" s="133">
        <v>16</v>
      </c>
      <c r="K359" s="8">
        <v>6918525.5999999996</v>
      </c>
      <c r="L359" s="3">
        <v>0</v>
      </c>
      <c r="M359" s="3">
        <v>0</v>
      </c>
      <c r="N359" s="8">
        <f t="shared" si="97"/>
        <v>6918525.5999999996</v>
      </c>
      <c r="O359" s="3">
        <v>0</v>
      </c>
      <c r="P359" s="3">
        <v>0</v>
      </c>
      <c r="Q359" s="3">
        <v>0</v>
      </c>
      <c r="R359" s="133">
        <v>2028</v>
      </c>
      <c r="S359" s="133">
        <v>2028</v>
      </c>
    </row>
    <row r="360" spans="1:19" ht="38.25" customHeight="1">
      <c r="A360" s="158" t="s">
        <v>233</v>
      </c>
      <c r="B360" s="159"/>
      <c r="C360" s="159"/>
      <c r="D360" s="159"/>
      <c r="E360" s="159"/>
      <c r="F360" s="160"/>
      <c r="G360" s="8">
        <f>SUM(G361:G376)</f>
        <v>44271.170000000013</v>
      </c>
      <c r="H360" s="8">
        <f t="shared" ref="H360:Q360" si="98">SUM(H361:H376)</f>
        <v>35594.000000000007</v>
      </c>
      <c r="I360" s="8">
        <f t="shared" si="98"/>
        <v>35266.800000000003</v>
      </c>
      <c r="J360" s="58">
        <f t="shared" si="98"/>
        <v>1515</v>
      </c>
      <c r="K360" s="8">
        <f t="shared" si="98"/>
        <v>133918828.46000001</v>
      </c>
      <c r="L360" s="8">
        <f t="shared" si="98"/>
        <v>0</v>
      </c>
      <c r="M360" s="8">
        <f t="shared" si="98"/>
        <v>0</v>
      </c>
      <c r="N360" s="8">
        <f t="shared" si="98"/>
        <v>133918828.46000001</v>
      </c>
      <c r="O360" s="8">
        <f t="shared" si="98"/>
        <v>0</v>
      </c>
      <c r="P360" s="8">
        <f t="shared" si="98"/>
        <v>0</v>
      </c>
      <c r="Q360" s="8">
        <f t="shared" si="98"/>
        <v>0</v>
      </c>
      <c r="R360" s="133" t="s">
        <v>52</v>
      </c>
      <c r="S360" s="133" t="s">
        <v>52</v>
      </c>
    </row>
    <row r="361" spans="1:19" ht="18.75" customHeight="1">
      <c r="A361" s="76">
        <v>37</v>
      </c>
      <c r="B361" s="23" t="s">
        <v>250</v>
      </c>
      <c r="C361" s="76">
        <v>1989</v>
      </c>
      <c r="D361" s="76" t="s">
        <v>74</v>
      </c>
      <c r="E361" s="76">
        <v>5</v>
      </c>
      <c r="F361" s="76">
        <v>3</v>
      </c>
      <c r="G361" s="1">
        <v>4756.2</v>
      </c>
      <c r="H361" s="1">
        <v>3328.4</v>
      </c>
      <c r="I361" s="1">
        <v>3328.4</v>
      </c>
      <c r="J361" s="15">
        <v>162</v>
      </c>
      <c r="K361" s="8">
        <v>9355632.5999999996</v>
      </c>
      <c r="L361" s="1">
        <v>0</v>
      </c>
      <c r="M361" s="1">
        <v>0</v>
      </c>
      <c r="N361" s="1">
        <v>9355632.5999999996</v>
      </c>
      <c r="O361" s="1">
        <v>0</v>
      </c>
      <c r="P361" s="1">
        <v>0</v>
      </c>
      <c r="Q361" s="1">
        <v>0</v>
      </c>
      <c r="R361" s="128">
        <v>2028</v>
      </c>
      <c r="S361" s="128">
        <v>2028</v>
      </c>
    </row>
    <row r="362" spans="1:19" ht="18.75" customHeight="1">
      <c r="A362" s="76">
        <v>38</v>
      </c>
      <c r="B362" s="20" t="s">
        <v>505</v>
      </c>
      <c r="C362" s="76">
        <v>1978</v>
      </c>
      <c r="D362" s="76" t="s">
        <v>75</v>
      </c>
      <c r="E362" s="76">
        <v>5</v>
      </c>
      <c r="F362" s="76">
        <v>4</v>
      </c>
      <c r="G362" s="1">
        <v>3151</v>
      </c>
      <c r="H362" s="1">
        <v>3151</v>
      </c>
      <c r="I362" s="1">
        <v>3151</v>
      </c>
      <c r="J362" s="15">
        <v>113</v>
      </c>
      <c r="K362" s="8">
        <v>7888963.96</v>
      </c>
      <c r="L362" s="1">
        <v>0</v>
      </c>
      <c r="M362" s="1">
        <v>0</v>
      </c>
      <c r="N362" s="1">
        <v>7888963.96</v>
      </c>
      <c r="O362" s="1">
        <v>0</v>
      </c>
      <c r="P362" s="1">
        <v>0</v>
      </c>
      <c r="Q362" s="1">
        <v>0</v>
      </c>
      <c r="R362" s="128">
        <v>2028</v>
      </c>
      <c r="S362" s="128">
        <v>2028</v>
      </c>
    </row>
    <row r="363" spans="1:19" ht="18.75" customHeight="1">
      <c r="A363" s="76">
        <v>39</v>
      </c>
      <c r="B363" s="23" t="s">
        <v>506</v>
      </c>
      <c r="C363" s="76">
        <v>1989</v>
      </c>
      <c r="D363" s="76" t="s">
        <v>75</v>
      </c>
      <c r="E363" s="76">
        <v>5</v>
      </c>
      <c r="F363" s="76">
        <v>6</v>
      </c>
      <c r="G363" s="1">
        <v>4500</v>
      </c>
      <c r="H363" s="1">
        <v>4023</v>
      </c>
      <c r="I363" s="1">
        <v>4023</v>
      </c>
      <c r="J363" s="15">
        <v>175</v>
      </c>
      <c r="K363" s="8">
        <v>11757769.82</v>
      </c>
      <c r="L363" s="1">
        <v>0</v>
      </c>
      <c r="M363" s="1">
        <v>0</v>
      </c>
      <c r="N363" s="1">
        <v>11757769.82</v>
      </c>
      <c r="O363" s="1">
        <v>0</v>
      </c>
      <c r="P363" s="1">
        <v>0</v>
      </c>
      <c r="Q363" s="1">
        <v>0</v>
      </c>
      <c r="R363" s="128">
        <v>2028</v>
      </c>
      <c r="S363" s="128">
        <v>2028</v>
      </c>
    </row>
    <row r="364" spans="1:19">
      <c r="A364" s="76">
        <v>40</v>
      </c>
      <c r="B364" s="23" t="s">
        <v>507</v>
      </c>
      <c r="C364" s="76">
        <v>1967</v>
      </c>
      <c r="D364" s="76" t="s">
        <v>74</v>
      </c>
      <c r="E364" s="76">
        <v>5</v>
      </c>
      <c r="F364" s="76">
        <v>4</v>
      </c>
      <c r="G364" s="1">
        <v>2961.5</v>
      </c>
      <c r="H364" s="1">
        <v>2681.5</v>
      </c>
      <c r="I364" s="1">
        <v>2681.5</v>
      </c>
      <c r="J364" s="15">
        <v>79</v>
      </c>
      <c r="K364" s="8">
        <v>7477690.96</v>
      </c>
      <c r="L364" s="1">
        <v>0</v>
      </c>
      <c r="M364" s="1">
        <v>0</v>
      </c>
      <c r="N364" s="1">
        <v>7477690.96</v>
      </c>
      <c r="O364" s="1">
        <v>0</v>
      </c>
      <c r="P364" s="1">
        <v>0</v>
      </c>
      <c r="Q364" s="1">
        <v>0</v>
      </c>
      <c r="R364" s="128">
        <v>2028</v>
      </c>
      <c r="S364" s="128">
        <v>2028</v>
      </c>
    </row>
    <row r="365" spans="1:19" ht="18.75" customHeight="1">
      <c r="A365" s="76">
        <v>41</v>
      </c>
      <c r="B365" s="23" t="s">
        <v>508</v>
      </c>
      <c r="C365" s="76">
        <v>1976</v>
      </c>
      <c r="D365" s="76" t="s">
        <v>74</v>
      </c>
      <c r="E365" s="76">
        <v>5</v>
      </c>
      <c r="F365" s="76">
        <v>6</v>
      </c>
      <c r="G365" s="1">
        <v>4906.5</v>
      </c>
      <c r="H365" s="1">
        <v>4488</v>
      </c>
      <c r="I365" s="1">
        <v>4488</v>
      </c>
      <c r="J365" s="15">
        <v>165</v>
      </c>
      <c r="K365" s="8">
        <v>12589024.029999999</v>
      </c>
      <c r="L365" s="1">
        <v>0</v>
      </c>
      <c r="M365" s="1">
        <v>0</v>
      </c>
      <c r="N365" s="1">
        <v>12589024.029999999</v>
      </c>
      <c r="O365" s="1">
        <v>0</v>
      </c>
      <c r="P365" s="1">
        <v>0</v>
      </c>
      <c r="Q365" s="1">
        <v>0</v>
      </c>
      <c r="R365" s="128">
        <v>2028</v>
      </c>
      <c r="S365" s="128">
        <v>2028</v>
      </c>
    </row>
    <row r="366" spans="1:19" ht="18.75" customHeight="1">
      <c r="A366" s="76">
        <v>42</v>
      </c>
      <c r="B366" s="9" t="s">
        <v>565</v>
      </c>
      <c r="C366" s="76">
        <v>1962</v>
      </c>
      <c r="D366" s="76" t="s">
        <v>75</v>
      </c>
      <c r="E366" s="76">
        <v>2</v>
      </c>
      <c r="F366" s="76">
        <v>2</v>
      </c>
      <c r="G366" s="1">
        <v>691.5</v>
      </c>
      <c r="H366" s="1">
        <v>691.5</v>
      </c>
      <c r="I366" s="1">
        <v>643.1</v>
      </c>
      <c r="J366" s="15">
        <v>29</v>
      </c>
      <c r="K366" s="8">
        <v>8479934.6799999997</v>
      </c>
      <c r="L366" s="1">
        <v>0</v>
      </c>
      <c r="M366" s="1">
        <v>0</v>
      </c>
      <c r="N366" s="1">
        <v>8479934.6799999997</v>
      </c>
      <c r="O366" s="1">
        <v>0</v>
      </c>
      <c r="P366" s="1">
        <v>0</v>
      </c>
      <c r="Q366" s="1">
        <v>0</v>
      </c>
      <c r="R366" s="128">
        <v>2028</v>
      </c>
      <c r="S366" s="128">
        <v>2028</v>
      </c>
    </row>
    <row r="367" spans="1:19" ht="18.75" customHeight="1">
      <c r="A367" s="76">
        <v>43</v>
      </c>
      <c r="B367" s="23" t="s">
        <v>509</v>
      </c>
      <c r="C367" s="76">
        <v>1987</v>
      </c>
      <c r="D367" s="76" t="s">
        <v>75</v>
      </c>
      <c r="E367" s="76">
        <v>3</v>
      </c>
      <c r="F367" s="76">
        <v>3</v>
      </c>
      <c r="G367" s="1">
        <v>1541.8</v>
      </c>
      <c r="H367" s="1">
        <v>943</v>
      </c>
      <c r="I367" s="1">
        <v>943</v>
      </c>
      <c r="J367" s="15">
        <v>43</v>
      </c>
      <c r="K367" s="8">
        <v>12203765.32</v>
      </c>
      <c r="L367" s="1">
        <v>0</v>
      </c>
      <c r="M367" s="1">
        <v>0</v>
      </c>
      <c r="N367" s="1">
        <v>12203765.32</v>
      </c>
      <c r="O367" s="1">
        <v>0</v>
      </c>
      <c r="P367" s="1">
        <v>0</v>
      </c>
      <c r="Q367" s="1">
        <v>0</v>
      </c>
      <c r="R367" s="128">
        <v>2028</v>
      </c>
      <c r="S367" s="128">
        <v>2028</v>
      </c>
    </row>
    <row r="368" spans="1:19" ht="18.75" customHeight="1">
      <c r="A368" s="76">
        <v>44</v>
      </c>
      <c r="B368" s="23" t="s">
        <v>510</v>
      </c>
      <c r="C368" s="76">
        <v>1993</v>
      </c>
      <c r="D368" s="76" t="s">
        <v>75</v>
      </c>
      <c r="E368" s="76">
        <v>3</v>
      </c>
      <c r="F368" s="76">
        <v>3</v>
      </c>
      <c r="G368" s="1">
        <v>1314.2</v>
      </c>
      <c r="H368" s="1">
        <v>1314.2</v>
      </c>
      <c r="I368" s="1">
        <v>1222.4000000000001</v>
      </c>
      <c r="J368" s="15">
        <v>45</v>
      </c>
      <c r="K368" s="8">
        <v>207006</v>
      </c>
      <c r="L368" s="1">
        <v>0</v>
      </c>
      <c r="M368" s="1">
        <v>0</v>
      </c>
      <c r="N368" s="1">
        <v>207006</v>
      </c>
      <c r="O368" s="1">
        <v>0</v>
      </c>
      <c r="P368" s="1">
        <v>0</v>
      </c>
      <c r="Q368" s="1">
        <v>0</v>
      </c>
      <c r="R368" s="128">
        <v>2028</v>
      </c>
      <c r="S368" s="128">
        <v>2028</v>
      </c>
    </row>
    <row r="369" spans="1:19" ht="18.75" customHeight="1">
      <c r="A369" s="76">
        <v>45</v>
      </c>
      <c r="B369" s="9" t="s">
        <v>511</v>
      </c>
      <c r="C369" s="76">
        <v>1961</v>
      </c>
      <c r="D369" s="76" t="s">
        <v>75</v>
      </c>
      <c r="E369" s="76">
        <v>2</v>
      </c>
      <c r="F369" s="76">
        <v>2</v>
      </c>
      <c r="G369" s="1">
        <v>519.47</v>
      </c>
      <c r="H369" s="1">
        <v>464.1</v>
      </c>
      <c r="I369" s="1">
        <v>464.1</v>
      </c>
      <c r="J369" s="15">
        <v>22</v>
      </c>
      <c r="K369" s="8">
        <v>7065337.8200000003</v>
      </c>
      <c r="L369" s="1">
        <v>0</v>
      </c>
      <c r="M369" s="1">
        <v>0</v>
      </c>
      <c r="N369" s="1">
        <v>7065337.8200000003</v>
      </c>
      <c r="O369" s="1">
        <v>0</v>
      </c>
      <c r="P369" s="1">
        <v>0</v>
      </c>
      <c r="Q369" s="1">
        <v>0</v>
      </c>
      <c r="R369" s="128">
        <v>2028</v>
      </c>
      <c r="S369" s="128">
        <v>2028</v>
      </c>
    </row>
    <row r="370" spans="1:19" ht="18.75" customHeight="1">
      <c r="A370" s="76">
        <v>46</v>
      </c>
      <c r="B370" s="9" t="s">
        <v>512</v>
      </c>
      <c r="C370" s="76">
        <v>1959</v>
      </c>
      <c r="D370" s="76" t="s">
        <v>75</v>
      </c>
      <c r="E370" s="76">
        <v>2</v>
      </c>
      <c r="F370" s="76">
        <v>1</v>
      </c>
      <c r="G370" s="8">
        <v>394.9</v>
      </c>
      <c r="H370" s="8">
        <v>289.2</v>
      </c>
      <c r="I370" s="1">
        <v>247.4</v>
      </c>
      <c r="J370" s="15">
        <v>10</v>
      </c>
      <c r="K370" s="8">
        <v>115633</v>
      </c>
      <c r="L370" s="1">
        <v>0</v>
      </c>
      <c r="M370" s="1">
        <v>0</v>
      </c>
      <c r="N370" s="1">
        <v>115633</v>
      </c>
      <c r="O370" s="1">
        <v>0</v>
      </c>
      <c r="P370" s="1">
        <v>0</v>
      </c>
      <c r="Q370" s="1">
        <v>0</v>
      </c>
      <c r="R370" s="128">
        <v>2028</v>
      </c>
      <c r="S370" s="128">
        <v>2028</v>
      </c>
    </row>
    <row r="371" spans="1:19" ht="18.75" customHeight="1">
      <c r="A371" s="76">
        <v>47</v>
      </c>
      <c r="B371" s="23" t="s">
        <v>251</v>
      </c>
      <c r="C371" s="76">
        <v>1967</v>
      </c>
      <c r="D371" s="76" t="s">
        <v>75</v>
      </c>
      <c r="E371" s="76">
        <v>2</v>
      </c>
      <c r="F371" s="76">
        <v>2</v>
      </c>
      <c r="G371" s="8">
        <v>403.2</v>
      </c>
      <c r="H371" s="8">
        <v>403.2</v>
      </c>
      <c r="I371" s="1">
        <v>352.1</v>
      </c>
      <c r="J371" s="15">
        <v>28</v>
      </c>
      <c r="K371" s="8">
        <v>4276482</v>
      </c>
      <c r="L371" s="1">
        <v>0</v>
      </c>
      <c r="M371" s="1">
        <v>0</v>
      </c>
      <c r="N371" s="1">
        <v>4276482</v>
      </c>
      <c r="O371" s="1">
        <v>0</v>
      </c>
      <c r="P371" s="1">
        <v>0</v>
      </c>
      <c r="Q371" s="1">
        <v>0</v>
      </c>
      <c r="R371" s="128">
        <v>2028</v>
      </c>
      <c r="S371" s="128">
        <v>2028</v>
      </c>
    </row>
    <row r="372" spans="1:19" ht="18.75" customHeight="1">
      <c r="A372" s="76">
        <v>48</v>
      </c>
      <c r="B372" s="23" t="s">
        <v>252</v>
      </c>
      <c r="C372" s="76">
        <v>1957</v>
      </c>
      <c r="D372" s="76" t="s">
        <v>132</v>
      </c>
      <c r="E372" s="76">
        <v>2</v>
      </c>
      <c r="F372" s="76">
        <v>1</v>
      </c>
      <c r="G372" s="8">
        <v>456.2</v>
      </c>
      <c r="H372" s="8">
        <v>456.2</v>
      </c>
      <c r="I372" s="1">
        <v>421.4</v>
      </c>
      <c r="J372" s="15">
        <v>17</v>
      </c>
      <c r="K372" s="8">
        <v>6468913.2000000002</v>
      </c>
      <c r="L372" s="1">
        <v>0</v>
      </c>
      <c r="M372" s="1">
        <v>0</v>
      </c>
      <c r="N372" s="1">
        <v>6468913.2000000002</v>
      </c>
      <c r="O372" s="1">
        <v>0</v>
      </c>
      <c r="P372" s="1">
        <v>0</v>
      </c>
      <c r="Q372" s="1">
        <v>0</v>
      </c>
      <c r="R372" s="128">
        <v>2028</v>
      </c>
      <c r="S372" s="128">
        <v>2028</v>
      </c>
    </row>
    <row r="373" spans="1:19" ht="18.75" customHeight="1">
      <c r="A373" s="76">
        <v>49</v>
      </c>
      <c r="B373" s="23" t="s">
        <v>253</v>
      </c>
      <c r="C373" s="76">
        <v>1963</v>
      </c>
      <c r="D373" s="76" t="s">
        <v>75</v>
      </c>
      <c r="E373" s="76">
        <v>2</v>
      </c>
      <c r="F373" s="76">
        <v>2</v>
      </c>
      <c r="G373" s="8">
        <v>511.4</v>
      </c>
      <c r="H373" s="8">
        <v>511.4</v>
      </c>
      <c r="I373" s="1">
        <v>452.1</v>
      </c>
      <c r="J373" s="15">
        <v>31</v>
      </c>
      <c r="K373" s="8">
        <v>8467700.3200000003</v>
      </c>
      <c r="L373" s="1">
        <v>0</v>
      </c>
      <c r="M373" s="1">
        <v>0</v>
      </c>
      <c r="N373" s="1">
        <v>8467700.3200000003</v>
      </c>
      <c r="O373" s="1">
        <v>0</v>
      </c>
      <c r="P373" s="1">
        <v>0</v>
      </c>
      <c r="Q373" s="1">
        <v>0</v>
      </c>
      <c r="R373" s="128">
        <v>2028</v>
      </c>
      <c r="S373" s="128">
        <v>2028</v>
      </c>
    </row>
    <row r="374" spans="1:19" ht="18.75" customHeight="1">
      <c r="A374" s="76">
        <v>50</v>
      </c>
      <c r="B374" s="23" t="s">
        <v>254</v>
      </c>
      <c r="C374" s="76">
        <v>1971</v>
      </c>
      <c r="D374" s="76" t="s">
        <v>74</v>
      </c>
      <c r="E374" s="76">
        <v>5</v>
      </c>
      <c r="F374" s="76">
        <v>4</v>
      </c>
      <c r="G374" s="8">
        <v>4714.1000000000004</v>
      </c>
      <c r="H374" s="1">
        <v>3497.4</v>
      </c>
      <c r="I374" s="1">
        <v>3497.4</v>
      </c>
      <c r="J374" s="15">
        <v>106</v>
      </c>
      <c r="K374" s="8">
        <v>374260</v>
      </c>
      <c r="L374" s="1">
        <v>0</v>
      </c>
      <c r="M374" s="1">
        <v>0</v>
      </c>
      <c r="N374" s="1">
        <v>374260</v>
      </c>
      <c r="O374" s="1">
        <v>0</v>
      </c>
      <c r="P374" s="1">
        <v>0</v>
      </c>
      <c r="Q374" s="1">
        <v>0</v>
      </c>
      <c r="R374" s="128">
        <v>2028</v>
      </c>
      <c r="S374" s="128">
        <v>2028</v>
      </c>
    </row>
    <row r="375" spans="1:19" ht="18.75" customHeight="1">
      <c r="A375" s="76">
        <v>51</v>
      </c>
      <c r="B375" s="23" t="s">
        <v>255</v>
      </c>
      <c r="C375" s="76">
        <v>1994</v>
      </c>
      <c r="D375" s="76" t="s">
        <v>74</v>
      </c>
      <c r="E375" s="76">
        <v>5</v>
      </c>
      <c r="F375" s="76">
        <v>6</v>
      </c>
      <c r="G375" s="8">
        <v>6350.8</v>
      </c>
      <c r="H375" s="1">
        <v>4671</v>
      </c>
      <c r="I375" s="1">
        <v>4671</v>
      </c>
      <c r="J375" s="15">
        <v>196</v>
      </c>
      <c r="K375" s="8">
        <v>11634908.52</v>
      </c>
      <c r="L375" s="1">
        <v>0</v>
      </c>
      <c r="M375" s="1">
        <v>0</v>
      </c>
      <c r="N375" s="1">
        <v>11634908.52</v>
      </c>
      <c r="O375" s="1">
        <v>0</v>
      </c>
      <c r="P375" s="1">
        <v>0</v>
      </c>
      <c r="Q375" s="1">
        <v>0</v>
      </c>
      <c r="R375" s="128">
        <v>2028</v>
      </c>
      <c r="S375" s="128">
        <v>2028</v>
      </c>
    </row>
    <row r="376" spans="1:19" ht="18.75" customHeight="1">
      <c r="A376" s="76">
        <v>52</v>
      </c>
      <c r="B376" s="24" t="s">
        <v>256</v>
      </c>
      <c r="C376" s="122">
        <v>1973</v>
      </c>
      <c r="D376" s="76" t="s">
        <v>74</v>
      </c>
      <c r="E376" s="122">
        <v>9</v>
      </c>
      <c r="F376" s="122">
        <v>4</v>
      </c>
      <c r="G376" s="25">
        <v>7098.4</v>
      </c>
      <c r="H376" s="26">
        <v>4680.8999999999996</v>
      </c>
      <c r="I376" s="26">
        <v>4680.8999999999996</v>
      </c>
      <c r="J376" s="27">
        <v>294</v>
      </c>
      <c r="K376" s="8">
        <v>25555806.23</v>
      </c>
      <c r="L376" s="1">
        <v>0</v>
      </c>
      <c r="M376" s="1">
        <v>0</v>
      </c>
      <c r="N376" s="26">
        <v>25555806.23</v>
      </c>
      <c r="O376" s="8">
        <v>0</v>
      </c>
      <c r="P376" s="1">
        <v>0</v>
      </c>
      <c r="Q376" s="1">
        <v>0</v>
      </c>
      <c r="R376" s="132">
        <v>2028</v>
      </c>
      <c r="S376" s="128">
        <v>2028</v>
      </c>
    </row>
    <row r="377" spans="1:19" ht="35.25" customHeight="1">
      <c r="A377" s="158" t="s">
        <v>68</v>
      </c>
      <c r="B377" s="159"/>
      <c r="C377" s="159"/>
      <c r="D377" s="159"/>
      <c r="E377" s="159"/>
      <c r="F377" s="160"/>
      <c r="G377" s="8">
        <f>G378</f>
        <v>3181</v>
      </c>
      <c r="H377" s="8">
        <f t="shared" ref="H377:Q377" si="99">H378</f>
        <v>2835.8</v>
      </c>
      <c r="I377" s="8">
        <f t="shared" si="99"/>
        <v>2807.3</v>
      </c>
      <c r="J377" s="133">
        <f t="shared" si="99"/>
        <v>94</v>
      </c>
      <c r="K377" s="8">
        <f t="shared" si="99"/>
        <v>11964589.93</v>
      </c>
      <c r="L377" s="3">
        <f t="shared" si="99"/>
        <v>0</v>
      </c>
      <c r="M377" s="3">
        <f t="shared" si="99"/>
        <v>0</v>
      </c>
      <c r="N377" s="63">
        <f t="shared" si="99"/>
        <v>11964589.93</v>
      </c>
      <c r="O377" s="3">
        <f t="shared" si="99"/>
        <v>0</v>
      </c>
      <c r="P377" s="3">
        <f t="shared" si="99"/>
        <v>0</v>
      </c>
      <c r="Q377" s="3">
        <f t="shared" si="99"/>
        <v>0</v>
      </c>
      <c r="R377" s="8" t="s">
        <v>52</v>
      </c>
      <c r="S377" s="8" t="s">
        <v>52</v>
      </c>
    </row>
    <row r="378" spans="1:19" ht="18.75" customHeight="1">
      <c r="A378" s="76">
        <v>53</v>
      </c>
      <c r="B378" s="121" t="s">
        <v>70</v>
      </c>
      <c r="C378" s="95">
        <v>1988</v>
      </c>
      <c r="D378" s="76" t="s">
        <v>75</v>
      </c>
      <c r="E378" s="95">
        <v>5</v>
      </c>
      <c r="F378" s="95">
        <v>4</v>
      </c>
      <c r="G378" s="8">
        <v>3181</v>
      </c>
      <c r="H378" s="8">
        <v>2835.8</v>
      </c>
      <c r="I378" s="8">
        <v>2807.3</v>
      </c>
      <c r="J378" s="133">
        <v>94</v>
      </c>
      <c r="K378" s="8">
        <f>L378+M378+N378+O378+P378+Q378</f>
        <v>11964589.93</v>
      </c>
      <c r="L378" s="82">
        <v>0</v>
      </c>
      <c r="M378" s="82">
        <v>0</v>
      </c>
      <c r="N378" s="8">
        <v>11964589.93</v>
      </c>
      <c r="O378" s="82">
        <v>0</v>
      </c>
      <c r="P378" s="82">
        <v>0</v>
      </c>
      <c r="Q378" s="82">
        <v>0</v>
      </c>
      <c r="R378" s="133">
        <v>2028</v>
      </c>
      <c r="S378" s="133">
        <v>2028</v>
      </c>
    </row>
    <row r="379" spans="1:19" ht="32.25" customHeight="1">
      <c r="A379" s="158" t="s">
        <v>154</v>
      </c>
      <c r="B379" s="159"/>
      <c r="C379" s="159"/>
      <c r="D379" s="159"/>
      <c r="E379" s="159"/>
      <c r="F379" s="160"/>
      <c r="G379" s="8">
        <f>G380+G381</f>
        <v>1292.0999999999999</v>
      </c>
      <c r="H379" s="8">
        <f t="shared" ref="H379:Q379" si="100">H380+H381</f>
        <v>1292.0999999999999</v>
      </c>
      <c r="I379" s="8">
        <f t="shared" si="100"/>
        <v>1173.5</v>
      </c>
      <c r="J379" s="13">
        <f t="shared" si="100"/>
        <v>43</v>
      </c>
      <c r="K379" s="8">
        <f t="shared" si="100"/>
        <v>12665612.08</v>
      </c>
      <c r="L379" s="8">
        <f t="shared" si="100"/>
        <v>0</v>
      </c>
      <c r="M379" s="8">
        <f t="shared" si="100"/>
        <v>0</v>
      </c>
      <c r="N379" s="63">
        <f t="shared" si="100"/>
        <v>12665612.08</v>
      </c>
      <c r="O379" s="8">
        <f t="shared" si="100"/>
        <v>0</v>
      </c>
      <c r="P379" s="8">
        <f t="shared" si="100"/>
        <v>0</v>
      </c>
      <c r="Q379" s="8">
        <f t="shared" si="100"/>
        <v>0</v>
      </c>
      <c r="R379" s="8" t="s">
        <v>52</v>
      </c>
      <c r="S379" s="8" t="s">
        <v>52</v>
      </c>
    </row>
    <row r="380" spans="1:19" ht="18.75" customHeight="1">
      <c r="A380" s="76">
        <v>54</v>
      </c>
      <c r="B380" s="121" t="s">
        <v>281</v>
      </c>
      <c r="C380" s="64">
        <v>1977</v>
      </c>
      <c r="D380" s="76" t="s">
        <v>75</v>
      </c>
      <c r="E380" s="95">
        <v>2</v>
      </c>
      <c r="F380" s="95">
        <v>3</v>
      </c>
      <c r="G380" s="8">
        <v>951.7</v>
      </c>
      <c r="H380" s="3">
        <v>951.7</v>
      </c>
      <c r="I380" s="3">
        <v>855.9</v>
      </c>
      <c r="J380" s="133">
        <v>28</v>
      </c>
      <c r="K380" s="8">
        <v>9129884.5800000001</v>
      </c>
      <c r="L380" s="1">
        <v>0</v>
      </c>
      <c r="M380" s="1">
        <v>0</v>
      </c>
      <c r="N380" s="8">
        <v>9129884.5800000001</v>
      </c>
      <c r="O380" s="1">
        <v>0</v>
      </c>
      <c r="P380" s="1">
        <v>0</v>
      </c>
      <c r="Q380" s="1">
        <v>0</v>
      </c>
      <c r="R380" s="133">
        <v>2028</v>
      </c>
      <c r="S380" s="133">
        <v>2028</v>
      </c>
    </row>
    <row r="381" spans="1:19" ht="18.75" customHeight="1">
      <c r="A381" s="76">
        <v>55</v>
      </c>
      <c r="B381" s="121" t="s">
        <v>282</v>
      </c>
      <c r="C381" s="95">
        <v>1961</v>
      </c>
      <c r="D381" s="76" t="s">
        <v>75</v>
      </c>
      <c r="E381" s="95">
        <v>2</v>
      </c>
      <c r="F381" s="95">
        <v>1</v>
      </c>
      <c r="G381" s="8">
        <v>340.4</v>
      </c>
      <c r="H381" s="3">
        <v>340.4</v>
      </c>
      <c r="I381" s="3">
        <v>317.60000000000002</v>
      </c>
      <c r="J381" s="133">
        <v>15</v>
      </c>
      <c r="K381" s="8">
        <v>3535727.5</v>
      </c>
      <c r="L381" s="1">
        <v>0</v>
      </c>
      <c r="M381" s="1">
        <v>0</v>
      </c>
      <c r="N381" s="8">
        <v>3535727.5</v>
      </c>
      <c r="O381" s="1">
        <v>0</v>
      </c>
      <c r="P381" s="1">
        <v>0</v>
      </c>
      <c r="Q381" s="1">
        <v>0</v>
      </c>
      <c r="R381" s="133">
        <v>2028</v>
      </c>
      <c r="S381" s="133">
        <v>2028</v>
      </c>
    </row>
    <row r="382" spans="1:19" ht="42.75" customHeight="1">
      <c r="A382" s="158" t="s">
        <v>97</v>
      </c>
      <c r="B382" s="159"/>
      <c r="C382" s="159"/>
      <c r="D382" s="159"/>
      <c r="E382" s="159"/>
      <c r="F382" s="160"/>
      <c r="G382" s="8">
        <f>SUM(G383:G386)</f>
        <v>8577.2999999999993</v>
      </c>
      <c r="H382" s="8">
        <f t="shared" ref="H382:Q382" si="101">SUM(H383:H386)</f>
        <v>8288.7999999999993</v>
      </c>
      <c r="I382" s="8">
        <f t="shared" si="101"/>
        <v>8076</v>
      </c>
      <c r="J382" s="133">
        <f t="shared" si="101"/>
        <v>324</v>
      </c>
      <c r="K382" s="8">
        <f t="shared" si="101"/>
        <v>30384089.410000004</v>
      </c>
      <c r="L382" s="3">
        <f t="shared" si="101"/>
        <v>0</v>
      </c>
      <c r="M382" s="3">
        <f t="shared" si="101"/>
        <v>0</v>
      </c>
      <c r="N382" s="63">
        <f t="shared" si="101"/>
        <v>30384089.410000004</v>
      </c>
      <c r="O382" s="3">
        <f t="shared" si="101"/>
        <v>0</v>
      </c>
      <c r="P382" s="3">
        <f t="shared" si="101"/>
        <v>0</v>
      </c>
      <c r="Q382" s="3">
        <f t="shared" si="101"/>
        <v>0</v>
      </c>
      <c r="R382" s="8" t="s">
        <v>52</v>
      </c>
      <c r="S382" s="8" t="s">
        <v>52</v>
      </c>
    </row>
    <row r="383" spans="1:19" ht="18.75" customHeight="1">
      <c r="A383" s="76">
        <v>56</v>
      </c>
      <c r="B383" s="121" t="s">
        <v>99</v>
      </c>
      <c r="C383" s="95">
        <v>1979</v>
      </c>
      <c r="D383" s="76" t="s">
        <v>75</v>
      </c>
      <c r="E383" s="95">
        <v>5</v>
      </c>
      <c r="F383" s="95">
        <v>4</v>
      </c>
      <c r="G383" s="8">
        <v>3345.9</v>
      </c>
      <c r="H383" s="8">
        <v>3088.4</v>
      </c>
      <c r="I383" s="26">
        <v>3088.4</v>
      </c>
      <c r="J383" s="133">
        <v>132</v>
      </c>
      <c r="K383" s="8">
        <f>L383+M383+N383+O383+P383+Q383</f>
        <v>9064097.3000000007</v>
      </c>
      <c r="L383" s="82">
        <v>0</v>
      </c>
      <c r="M383" s="82">
        <v>0</v>
      </c>
      <c r="N383" s="8">
        <v>9064097.3000000007</v>
      </c>
      <c r="O383" s="82">
        <v>0</v>
      </c>
      <c r="P383" s="82">
        <v>0</v>
      </c>
      <c r="Q383" s="82">
        <v>0</v>
      </c>
      <c r="R383" s="133">
        <v>2028</v>
      </c>
      <c r="S383" s="133">
        <v>2028</v>
      </c>
    </row>
    <row r="384" spans="1:19" ht="18.75" customHeight="1">
      <c r="A384" s="76">
        <v>57</v>
      </c>
      <c r="B384" s="121" t="s">
        <v>100</v>
      </c>
      <c r="C384" s="95">
        <v>1963</v>
      </c>
      <c r="D384" s="76" t="s">
        <v>75</v>
      </c>
      <c r="E384" s="95">
        <v>2</v>
      </c>
      <c r="F384" s="95">
        <v>2</v>
      </c>
      <c r="G384" s="8">
        <v>400.5</v>
      </c>
      <c r="H384" s="8">
        <v>369.5</v>
      </c>
      <c r="I384" s="3">
        <v>369.5</v>
      </c>
      <c r="J384" s="133">
        <v>18</v>
      </c>
      <c r="K384" s="8">
        <f t="shared" ref="K384:K385" si="102">L384+M384+N384+O384+P384+Q384</f>
        <v>4480831.13</v>
      </c>
      <c r="L384" s="82">
        <v>0</v>
      </c>
      <c r="M384" s="82">
        <v>0</v>
      </c>
      <c r="N384" s="8">
        <v>4480831.13</v>
      </c>
      <c r="O384" s="82">
        <v>0</v>
      </c>
      <c r="P384" s="82">
        <v>0</v>
      </c>
      <c r="Q384" s="82">
        <v>0</v>
      </c>
      <c r="R384" s="133">
        <v>2028</v>
      </c>
      <c r="S384" s="133">
        <v>2028</v>
      </c>
    </row>
    <row r="385" spans="1:19" ht="18.75" customHeight="1">
      <c r="A385" s="76">
        <v>58</v>
      </c>
      <c r="B385" s="121" t="s">
        <v>101</v>
      </c>
      <c r="C385" s="95">
        <v>1969</v>
      </c>
      <c r="D385" s="76" t="s">
        <v>132</v>
      </c>
      <c r="E385" s="95">
        <v>2</v>
      </c>
      <c r="F385" s="95">
        <v>1</v>
      </c>
      <c r="G385" s="8">
        <v>245</v>
      </c>
      <c r="H385" s="8">
        <v>245</v>
      </c>
      <c r="I385" s="3">
        <v>245</v>
      </c>
      <c r="J385" s="133">
        <v>18</v>
      </c>
      <c r="K385" s="8">
        <f t="shared" si="102"/>
        <v>4312608.8</v>
      </c>
      <c r="L385" s="82">
        <v>0</v>
      </c>
      <c r="M385" s="82">
        <v>0</v>
      </c>
      <c r="N385" s="8">
        <v>4312608.8</v>
      </c>
      <c r="O385" s="82">
        <v>0</v>
      </c>
      <c r="P385" s="82">
        <v>0</v>
      </c>
      <c r="Q385" s="82">
        <v>0</v>
      </c>
      <c r="R385" s="133">
        <v>2028</v>
      </c>
      <c r="S385" s="133">
        <v>2028</v>
      </c>
    </row>
    <row r="386" spans="1:19" ht="18.75" customHeight="1">
      <c r="A386" s="76">
        <v>59</v>
      </c>
      <c r="B386" s="121" t="s">
        <v>329</v>
      </c>
      <c r="C386" s="95">
        <v>1995</v>
      </c>
      <c r="D386" s="76" t="s">
        <v>325</v>
      </c>
      <c r="E386" s="95">
        <v>5</v>
      </c>
      <c r="F386" s="95">
        <v>6</v>
      </c>
      <c r="G386" s="8">
        <v>4585.8999999999996</v>
      </c>
      <c r="H386" s="8">
        <v>4585.8999999999996</v>
      </c>
      <c r="I386" s="26">
        <v>4373.1000000000004</v>
      </c>
      <c r="J386" s="133">
        <v>156</v>
      </c>
      <c r="K386" s="8">
        <v>12526552.180000002</v>
      </c>
      <c r="L386" s="82">
        <v>0</v>
      </c>
      <c r="M386" s="82">
        <v>0</v>
      </c>
      <c r="N386" s="8">
        <v>12526552.180000002</v>
      </c>
      <c r="O386" s="82">
        <v>0</v>
      </c>
      <c r="P386" s="82">
        <v>0</v>
      </c>
      <c r="Q386" s="82">
        <v>0</v>
      </c>
      <c r="R386" s="133">
        <v>2028</v>
      </c>
      <c r="S386" s="133">
        <v>2028</v>
      </c>
    </row>
    <row r="387" spans="1:19" ht="33.75" customHeight="1">
      <c r="A387" s="158" t="s">
        <v>200</v>
      </c>
      <c r="B387" s="159"/>
      <c r="C387" s="159"/>
      <c r="D387" s="159"/>
      <c r="E387" s="159"/>
      <c r="F387" s="160"/>
      <c r="G387" s="8">
        <f>G388</f>
        <v>563.79999999999995</v>
      </c>
      <c r="H387" s="8">
        <f t="shared" ref="H387:Q387" si="103">H388</f>
        <v>515.20000000000005</v>
      </c>
      <c r="I387" s="8">
        <f t="shared" si="103"/>
        <v>515.20000000000005</v>
      </c>
      <c r="J387" s="133">
        <f t="shared" si="103"/>
        <v>11</v>
      </c>
      <c r="K387" s="8">
        <f t="shared" si="103"/>
        <v>7539418.9299999997</v>
      </c>
      <c r="L387" s="8">
        <f t="shared" si="103"/>
        <v>0</v>
      </c>
      <c r="M387" s="8">
        <f t="shared" si="103"/>
        <v>0</v>
      </c>
      <c r="N387" s="8">
        <f t="shared" si="103"/>
        <v>7539418.9299999997</v>
      </c>
      <c r="O387" s="3">
        <f t="shared" si="103"/>
        <v>0</v>
      </c>
      <c r="P387" s="3">
        <f t="shared" si="103"/>
        <v>0</v>
      </c>
      <c r="Q387" s="3">
        <f t="shared" si="103"/>
        <v>0</v>
      </c>
      <c r="R387" s="8" t="s">
        <v>52</v>
      </c>
      <c r="S387" s="8" t="s">
        <v>52</v>
      </c>
    </row>
    <row r="388" spans="1:19" ht="18.75" customHeight="1">
      <c r="A388" s="76">
        <v>60</v>
      </c>
      <c r="B388" s="121" t="s">
        <v>549</v>
      </c>
      <c r="C388" s="95">
        <v>1963</v>
      </c>
      <c r="D388" s="76" t="s">
        <v>75</v>
      </c>
      <c r="E388" s="95">
        <v>2</v>
      </c>
      <c r="F388" s="95">
        <v>2</v>
      </c>
      <c r="G388" s="8">
        <v>563.79999999999995</v>
      </c>
      <c r="H388" s="8">
        <v>515.20000000000005</v>
      </c>
      <c r="I388" s="8">
        <v>515.20000000000005</v>
      </c>
      <c r="J388" s="15">
        <v>11</v>
      </c>
      <c r="K388" s="8">
        <f>L388+M388+N388+O388+P388+Q388</f>
        <v>7539418.9299999997</v>
      </c>
      <c r="L388" s="82">
        <v>0</v>
      </c>
      <c r="M388" s="82">
        <v>0</v>
      </c>
      <c r="N388" s="8">
        <v>7539418.9299999997</v>
      </c>
      <c r="O388" s="82">
        <v>0</v>
      </c>
      <c r="P388" s="82">
        <v>0</v>
      </c>
      <c r="Q388" s="82">
        <v>0</v>
      </c>
      <c r="R388" s="133">
        <v>2028</v>
      </c>
      <c r="S388" s="133">
        <v>2028</v>
      </c>
    </row>
    <row r="389" spans="1:19" ht="38.25" customHeight="1">
      <c r="A389" s="158" t="s">
        <v>280</v>
      </c>
      <c r="B389" s="159"/>
      <c r="C389" s="159"/>
      <c r="D389" s="159"/>
      <c r="E389" s="159"/>
      <c r="F389" s="160"/>
      <c r="G389" s="8">
        <f>SUM(G390:G392)</f>
        <v>8601.7999999999993</v>
      </c>
      <c r="H389" s="8">
        <f t="shared" ref="H389:Q389" si="104">SUM(H390:H392)</f>
        <v>7394.3</v>
      </c>
      <c r="I389" s="8">
        <f t="shared" si="104"/>
        <v>6737.3</v>
      </c>
      <c r="J389" s="133">
        <f t="shared" si="104"/>
        <v>224</v>
      </c>
      <c r="K389" s="8">
        <f t="shared" si="104"/>
        <v>22744296.280000001</v>
      </c>
      <c r="L389" s="3">
        <f t="shared" si="104"/>
        <v>0</v>
      </c>
      <c r="M389" s="3">
        <f t="shared" si="104"/>
        <v>0</v>
      </c>
      <c r="N389" s="63">
        <f t="shared" si="104"/>
        <v>22744296.280000001</v>
      </c>
      <c r="O389" s="3">
        <f t="shared" si="104"/>
        <v>0</v>
      </c>
      <c r="P389" s="3">
        <f t="shared" si="104"/>
        <v>0</v>
      </c>
      <c r="Q389" s="3">
        <f t="shared" si="104"/>
        <v>0</v>
      </c>
      <c r="R389" s="8" t="s">
        <v>52</v>
      </c>
      <c r="S389" s="8" t="s">
        <v>52</v>
      </c>
    </row>
    <row r="390" spans="1:19" ht="18.75" customHeight="1">
      <c r="A390" s="76">
        <v>61</v>
      </c>
      <c r="B390" s="71" t="s">
        <v>740</v>
      </c>
      <c r="C390" s="76">
        <v>1968</v>
      </c>
      <c r="D390" s="76" t="s">
        <v>75</v>
      </c>
      <c r="E390" s="76">
        <v>5</v>
      </c>
      <c r="F390" s="76">
        <v>2</v>
      </c>
      <c r="G390" s="8">
        <v>1602.5</v>
      </c>
      <c r="H390" s="8">
        <v>1602.5</v>
      </c>
      <c r="I390" s="8">
        <v>1477.8</v>
      </c>
      <c r="J390" s="15">
        <v>39</v>
      </c>
      <c r="K390" s="8">
        <v>6441226.2000000002</v>
      </c>
      <c r="L390" s="3">
        <v>0</v>
      </c>
      <c r="M390" s="3">
        <v>0</v>
      </c>
      <c r="N390" s="8">
        <v>6441226.2000000002</v>
      </c>
      <c r="O390" s="3">
        <v>0</v>
      </c>
      <c r="P390" s="3">
        <v>0</v>
      </c>
      <c r="Q390" s="3">
        <v>0</v>
      </c>
      <c r="R390" s="133">
        <v>2028</v>
      </c>
      <c r="S390" s="133">
        <v>2028</v>
      </c>
    </row>
    <row r="391" spans="1:19" ht="18.75" customHeight="1">
      <c r="A391" s="76">
        <v>62</v>
      </c>
      <c r="B391" s="20" t="s">
        <v>741</v>
      </c>
      <c r="C391" s="76">
        <v>1969</v>
      </c>
      <c r="D391" s="76" t="s">
        <v>75</v>
      </c>
      <c r="E391" s="76">
        <v>5</v>
      </c>
      <c r="F391" s="76">
        <v>6</v>
      </c>
      <c r="G391" s="8">
        <v>6415.7</v>
      </c>
      <c r="H391" s="8">
        <v>5208.2</v>
      </c>
      <c r="I391" s="8">
        <v>4698.5</v>
      </c>
      <c r="J391" s="15">
        <v>166</v>
      </c>
      <c r="K391" s="8">
        <v>12380784.529999999</v>
      </c>
      <c r="L391" s="3">
        <v>0</v>
      </c>
      <c r="M391" s="3">
        <v>0</v>
      </c>
      <c r="N391" s="8">
        <v>12380784.529999999</v>
      </c>
      <c r="O391" s="3">
        <v>0</v>
      </c>
      <c r="P391" s="3">
        <v>0</v>
      </c>
      <c r="Q391" s="3">
        <v>0</v>
      </c>
      <c r="R391" s="133">
        <v>2028</v>
      </c>
      <c r="S391" s="133">
        <v>2028</v>
      </c>
    </row>
    <row r="392" spans="1:19" ht="18.75" customHeight="1">
      <c r="A392" s="76">
        <v>63</v>
      </c>
      <c r="B392" s="20" t="s">
        <v>742</v>
      </c>
      <c r="C392" s="76">
        <v>1973</v>
      </c>
      <c r="D392" s="76" t="s">
        <v>75</v>
      </c>
      <c r="E392" s="76">
        <v>2</v>
      </c>
      <c r="F392" s="76">
        <v>2</v>
      </c>
      <c r="G392" s="8">
        <v>583.6</v>
      </c>
      <c r="H392" s="8">
        <v>583.6</v>
      </c>
      <c r="I392" s="8">
        <v>561</v>
      </c>
      <c r="J392" s="15">
        <v>19</v>
      </c>
      <c r="K392" s="8">
        <v>3922285.55</v>
      </c>
      <c r="L392" s="3">
        <v>0</v>
      </c>
      <c r="M392" s="3">
        <v>0</v>
      </c>
      <c r="N392" s="8">
        <f>K392</f>
        <v>3922285.55</v>
      </c>
      <c r="O392" s="3">
        <v>0</v>
      </c>
      <c r="P392" s="3">
        <v>0</v>
      </c>
      <c r="Q392" s="3">
        <v>0</v>
      </c>
      <c r="R392" s="133">
        <v>2028</v>
      </c>
      <c r="S392" s="133">
        <v>2028</v>
      </c>
    </row>
    <row r="393" spans="1:19" ht="32.25" customHeight="1">
      <c r="A393" s="158" t="s">
        <v>138</v>
      </c>
      <c r="B393" s="159"/>
      <c r="C393" s="159"/>
      <c r="D393" s="159"/>
      <c r="E393" s="159"/>
      <c r="F393" s="160"/>
      <c r="G393" s="8">
        <f>G394</f>
        <v>1421.8</v>
      </c>
      <c r="H393" s="8">
        <f t="shared" ref="H393:Q393" si="105">H394</f>
        <v>1290.0999999999999</v>
      </c>
      <c r="I393" s="8">
        <f t="shared" si="105"/>
        <v>1257.8</v>
      </c>
      <c r="J393" s="133">
        <f t="shared" si="105"/>
        <v>58</v>
      </c>
      <c r="K393" s="8">
        <f t="shared" si="105"/>
        <v>11699098.34</v>
      </c>
      <c r="L393" s="3">
        <f t="shared" si="105"/>
        <v>0</v>
      </c>
      <c r="M393" s="3">
        <f t="shared" si="105"/>
        <v>0</v>
      </c>
      <c r="N393" s="63">
        <f t="shared" si="105"/>
        <v>11699098.34</v>
      </c>
      <c r="O393" s="3">
        <f t="shared" si="105"/>
        <v>0</v>
      </c>
      <c r="P393" s="3">
        <f t="shared" si="105"/>
        <v>0</v>
      </c>
      <c r="Q393" s="3">
        <f t="shared" si="105"/>
        <v>0</v>
      </c>
      <c r="R393" s="133" t="s">
        <v>52</v>
      </c>
      <c r="S393" s="133" t="s">
        <v>52</v>
      </c>
    </row>
    <row r="394" spans="1:19" ht="18.75" customHeight="1">
      <c r="A394" s="76">
        <v>64</v>
      </c>
      <c r="B394" s="121" t="s">
        <v>513</v>
      </c>
      <c r="C394" s="95">
        <v>1990</v>
      </c>
      <c r="D394" s="76" t="s">
        <v>77</v>
      </c>
      <c r="E394" s="95">
        <v>3</v>
      </c>
      <c r="F394" s="95">
        <v>3</v>
      </c>
      <c r="G394" s="8">
        <v>1421.8</v>
      </c>
      <c r="H394" s="8">
        <v>1290.0999999999999</v>
      </c>
      <c r="I394" s="8">
        <v>1257.8</v>
      </c>
      <c r="J394" s="133">
        <v>58</v>
      </c>
      <c r="K394" s="8">
        <f>L394+M394+N394+O394+P394+Q394</f>
        <v>11699098.34</v>
      </c>
      <c r="L394" s="3">
        <v>0</v>
      </c>
      <c r="M394" s="3">
        <v>0</v>
      </c>
      <c r="N394" s="63">
        <v>11699098.34</v>
      </c>
      <c r="O394" s="3">
        <v>0</v>
      </c>
      <c r="P394" s="3">
        <v>0</v>
      </c>
      <c r="Q394" s="3">
        <v>0</v>
      </c>
      <c r="R394" s="133">
        <v>2028</v>
      </c>
      <c r="S394" s="133">
        <v>2028</v>
      </c>
    </row>
    <row r="395" spans="1:19" ht="33.75" customHeight="1">
      <c r="A395" s="158" t="s">
        <v>326</v>
      </c>
      <c r="B395" s="159"/>
      <c r="C395" s="159"/>
      <c r="D395" s="159"/>
      <c r="E395" s="159"/>
      <c r="F395" s="160"/>
      <c r="G395" s="8">
        <f>SUM(G396:G403)</f>
        <v>21264.320000000003</v>
      </c>
      <c r="H395" s="8">
        <f t="shared" ref="H395:Q395" si="106">SUM(H396:H403)</f>
        <v>17610.82</v>
      </c>
      <c r="I395" s="8">
        <f t="shared" si="106"/>
        <v>16473.5</v>
      </c>
      <c r="J395" s="133">
        <f t="shared" si="106"/>
        <v>686</v>
      </c>
      <c r="K395" s="8">
        <f t="shared" si="106"/>
        <v>73228121.070000008</v>
      </c>
      <c r="L395" s="8">
        <f t="shared" si="106"/>
        <v>0</v>
      </c>
      <c r="M395" s="8">
        <f t="shared" si="106"/>
        <v>0</v>
      </c>
      <c r="N395" s="8">
        <f t="shared" si="106"/>
        <v>73228121.070000008</v>
      </c>
      <c r="O395" s="8">
        <f t="shared" si="106"/>
        <v>0</v>
      </c>
      <c r="P395" s="8">
        <f t="shared" si="106"/>
        <v>0</v>
      </c>
      <c r="Q395" s="8">
        <f t="shared" si="106"/>
        <v>0</v>
      </c>
      <c r="R395" s="133" t="s">
        <v>52</v>
      </c>
      <c r="S395" s="133" t="s">
        <v>52</v>
      </c>
    </row>
    <row r="396" spans="1:19" ht="18.75" customHeight="1">
      <c r="A396" s="76">
        <v>65</v>
      </c>
      <c r="B396" s="121" t="s">
        <v>743</v>
      </c>
      <c r="C396" s="95">
        <v>1954</v>
      </c>
      <c r="D396" s="76" t="s">
        <v>75</v>
      </c>
      <c r="E396" s="95">
        <v>2</v>
      </c>
      <c r="F396" s="95">
        <v>3</v>
      </c>
      <c r="G396" s="8">
        <v>828.2</v>
      </c>
      <c r="H396" s="8">
        <v>722</v>
      </c>
      <c r="I396" s="8">
        <v>722</v>
      </c>
      <c r="J396" s="15">
        <v>24</v>
      </c>
      <c r="K396" s="8">
        <v>12066128.869999999</v>
      </c>
      <c r="L396" s="3">
        <v>0</v>
      </c>
      <c r="M396" s="3">
        <v>0</v>
      </c>
      <c r="N396" s="8">
        <v>12066128.869999999</v>
      </c>
      <c r="O396" s="3">
        <v>0</v>
      </c>
      <c r="P396" s="3">
        <v>0</v>
      </c>
      <c r="Q396" s="3">
        <v>0</v>
      </c>
      <c r="R396" s="133">
        <v>2028</v>
      </c>
      <c r="S396" s="133">
        <v>2028</v>
      </c>
    </row>
    <row r="397" spans="1:19" ht="18.75" customHeight="1">
      <c r="A397" s="76">
        <v>66</v>
      </c>
      <c r="B397" s="121" t="s">
        <v>744</v>
      </c>
      <c r="C397" s="95">
        <v>1992</v>
      </c>
      <c r="D397" s="76" t="s">
        <v>75</v>
      </c>
      <c r="E397" s="95">
        <v>5</v>
      </c>
      <c r="F397" s="95">
        <v>5</v>
      </c>
      <c r="G397" s="8">
        <v>4952.8</v>
      </c>
      <c r="H397" s="8">
        <v>3654</v>
      </c>
      <c r="I397" s="8">
        <v>3654</v>
      </c>
      <c r="J397" s="15">
        <v>133</v>
      </c>
      <c r="K397" s="8">
        <v>12081676.899999999</v>
      </c>
      <c r="L397" s="3">
        <v>0</v>
      </c>
      <c r="M397" s="3">
        <v>0</v>
      </c>
      <c r="N397" s="8">
        <v>12081676.899999999</v>
      </c>
      <c r="O397" s="3">
        <v>0</v>
      </c>
      <c r="P397" s="3">
        <v>0</v>
      </c>
      <c r="Q397" s="3">
        <v>0</v>
      </c>
      <c r="R397" s="133">
        <v>2028</v>
      </c>
      <c r="S397" s="133">
        <v>2028</v>
      </c>
    </row>
    <row r="398" spans="1:19" ht="18.75" customHeight="1">
      <c r="A398" s="76">
        <v>67</v>
      </c>
      <c r="B398" s="121" t="s">
        <v>745</v>
      </c>
      <c r="C398" s="95">
        <v>1981</v>
      </c>
      <c r="D398" s="76" t="s">
        <v>77</v>
      </c>
      <c r="E398" s="95">
        <v>5</v>
      </c>
      <c r="F398" s="95">
        <v>6</v>
      </c>
      <c r="G398" s="8">
        <v>4675.3</v>
      </c>
      <c r="H398" s="8">
        <v>3935.4</v>
      </c>
      <c r="I398" s="8">
        <v>3785.2</v>
      </c>
      <c r="J398" s="15">
        <v>193</v>
      </c>
      <c r="K398" s="8">
        <v>11131347.559999999</v>
      </c>
      <c r="L398" s="3">
        <v>0</v>
      </c>
      <c r="M398" s="3">
        <v>0</v>
      </c>
      <c r="N398" s="8">
        <v>11131347.559999999</v>
      </c>
      <c r="O398" s="3">
        <v>0</v>
      </c>
      <c r="P398" s="3">
        <v>0</v>
      </c>
      <c r="Q398" s="3">
        <v>0</v>
      </c>
      <c r="R398" s="133">
        <v>2028</v>
      </c>
      <c r="S398" s="133">
        <v>2028</v>
      </c>
    </row>
    <row r="399" spans="1:19" ht="18.75" customHeight="1">
      <c r="A399" s="76">
        <v>68</v>
      </c>
      <c r="B399" s="121" t="s">
        <v>746</v>
      </c>
      <c r="C399" s="95">
        <v>1963</v>
      </c>
      <c r="D399" s="76" t="s">
        <v>75</v>
      </c>
      <c r="E399" s="95">
        <v>3</v>
      </c>
      <c r="F399" s="95">
        <v>2</v>
      </c>
      <c r="G399" s="8">
        <v>1049.9000000000001</v>
      </c>
      <c r="H399" s="8">
        <v>977</v>
      </c>
      <c r="I399" s="8">
        <v>977</v>
      </c>
      <c r="J399" s="15">
        <v>46</v>
      </c>
      <c r="K399" s="8">
        <v>8186310.25</v>
      </c>
      <c r="L399" s="3">
        <v>0</v>
      </c>
      <c r="M399" s="3">
        <v>0</v>
      </c>
      <c r="N399" s="8">
        <v>8186310.25</v>
      </c>
      <c r="O399" s="3">
        <v>0</v>
      </c>
      <c r="P399" s="3">
        <v>0</v>
      </c>
      <c r="Q399" s="3">
        <v>0</v>
      </c>
      <c r="R399" s="133">
        <v>2028</v>
      </c>
      <c r="S399" s="133">
        <v>2028</v>
      </c>
    </row>
    <row r="400" spans="1:19" ht="18.75" customHeight="1">
      <c r="A400" s="76">
        <v>69</v>
      </c>
      <c r="B400" s="121" t="s">
        <v>747</v>
      </c>
      <c r="C400" s="95">
        <v>1963</v>
      </c>
      <c r="D400" s="76" t="s">
        <v>75</v>
      </c>
      <c r="E400" s="95">
        <v>4</v>
      </c>
      <c r="F400" s="95">
        <v>2</v>
      </c>
      <c r="G400" s="8">
        <v>1719.62</v>
      </c>
      <c r="H400" s="8">
        <v>1285.82</v>
      </c>
      <c r="I400" s="8">
        <v>1158.9000000000001</v>
      </c>
      <c r="J400" s="15">
        <v>61</v>
      </c>
      <c r="K400" s="8">
        <v>9481622.1799999997</v>
      </c>
      <c r="L400" s="3">
        <v>0</v>
      </c>
      <c r="M400" s="3">
        <v>0</v>
      </c>
      <c r="N400" s="8">
        <v>9481622.1799999997</v>
      </c>
      <c r="O400" s="3">
        <v>0</v>
      </c>
      <c r="P400" s="3">
        <v>0</v>
      </c>
      <c r="Q400" s="3">
        <v>0</v>
      </c>
      <c r="R400" s="133">
        <v>2028</v>
      </c>
      <c r="S400" s="133">
        <v>2028</v>
      </c>
    </row>
    <row r="401" spans="1:19" ht="18.75" customHeight="1">
      <c r="A401" s="76">
        <v>70</v>
      </c>
      <c r="B401" s="121" t="s">
        <v>748</v>
      </c>
      <c r="C401" s="95">
        <v>1982</v>
      </c>
      <c r="D401" s="76" t="s">
        <v>77</v>
      </c>
      <c r="E401" s="95">
        <v>5</v>
      </c>
      <c r="F401" s="95">
        <v>4</v>
      </c>
      <c r="G401" s="8">
        <v>3755.9</v>
      </c>
      <c r="H401" s="8">
        <v>2775</v>
      </c>
      <c r="I401" s="8">
        <v>2775</v>
      </c>
      <c r="J401" s="15">
        <v>143</v>
      </c>
      <c r="K401" s="8">
        <v>7998289.7000000002</v>
      </c>
      <c r="L401" s="3">
        <v>0</v>
      </c>
      <c r="M401" s="3">
        <v>0</v>
      </c>
      <c r="N401" s="8">
        <v>7998289.7000000002</v>
      </c>
      <c r="O401" s="3">
        <v>0</v>
      </c>
      <c r="P401" s="3">
        <v>0</v>
      </c>
      <c r="Q401" s="3">
        <v>0</v>
      </c>
      <c r="R401" s="133">
        <v>2028</v>
      </c>
      <c r="S401" s="133">
        <v>2028</v>
      </c>
    </row>
    <row r="402" spans="1:19" ht="18.75" customHeight="1">
      <c r="A402" s="76">
        <v>71</v>
      </c>
      <c r="B402" s="121" t="s">
        <v>749</v>
      </c>
      <c r="C402" s="95">
        <v>1957</v>
      </c>
      <c r="D402" s="76" t="s">
        <v>75</v>
      </c>
      <c r="E402" s="95">
        <v>4</v>
      </c>
      <c r="F402" s="95">
        <v>4</v>
      </c>
      <c r="G402" s="8">
        <v>4016.4</v>
      </c>
      <c r="H402" s="8">
        <v>4016.4</v>
      </c>
      <c r="I402" s="8">
        <v>3156.2</v>
      </c>
      <c r="J402" s="15">
        <v>68</v>
      </c>
      <c r="K402" s="8">
        <v>5905590.0500000007</v>
      </c>
      <c r="L402" s="3">
        <v>0</v>
      </c>
      <c r="M402" s="3">
        <v>0</v>
      </c>
      <c r="N402" s="8">
        <v>5905590.0500000007</v>
      </c>
      <c r="O402" s="3">
        <v>0</v>
      </c>
      <c r="P402" s="3">
        <v>0</v>
      </c>
      <c r="Q402" s="3">
        <v>0</v>
      </c>
      <c r="R402" s="133">
        <v>2028</v>
      </c>
      <c r="S402" s="133">
        <v>2028</v>
      </c>
    </row>
    <row r="403" spans="1:19" ht="18.75" customHeight="1">
      <c r="A403" s="76">
        <v>72</v>
      </c>
      <c r="B403" s="121" t="s">
        <v>750</v>
      </c>
      <c r="C403" s="95">
        <v>1952</v>
      </c>
      <c r="D403" s="76" t="s">
        <v>75</v>
      </c>
      <c r="E403" s="95">
        <v>2</v>
      </c>
      <c r="F403" s="95">
        <v>2</v>
      </c>
      <c r="G403" s="8">
        <v>266.2</v>
      </c>
      <c r="H403" s="8">
        <v>245.2</v>
      </c>
      <c r="I403" s="8">
        <v>245.2</v>
      </c>
      <c r="J403" s="15">
        <v>18</v>
      </c>
      <c r="K403" s="8">
        <v>6377155.5599999996</v>
      </c>
      <c r="L403" s="3">
        <v>0</v>
      </c>
      <c r="M403" s="3">
        <v>0</v>
      </c>
      <c r="N403" s="8">
        <v>6377155.5599999996</v>
      </c>
      <c r="O403" s="3">
        <v>0</v>
      </c>
      <c r="P403" s="3">
        <v>0</v>
      </c>
      <c r="Q403" s="3">
        <v>0</v>
      </c>
      <c r="R403" s="133">
        <v>2028</v>
      </c>
      <c r="S403" s="133">
        <v>2028</v>
      </c>
    </row>
    <row r="404" spans="1:19" ht="33.75" customHeight="1">
      <c r="A404" s="158" t="s">
        <v>141</v>
      </c>
      <c r="B404" s="159"/>
      <c r="C404" s="159"/>
      <c r="D404" s="159"/>
      <c r="E404" s="159"/>
      <c r="F404" s="160"/>
      <c r="G404" s="8">
        <f>G405</f>
        <v>833.9</v>
      </c>
      <c r="H404" s="8">
        <f t="shared" ref="H404:N404" si="107">H405</f>
        <v>833.9</v>
      </c>
      <c r="I404" s="8">
        <f t="shared" si="107"/>
        <v>768.1</v>
      </c>
      <c r="J404" s="133">
        <f t="shared" si="107"/>
        <v>22</v>
      </c>
      <c r="K404" s="8">
        <f t="shared" si="107"/>
        <v>10942862.5</v>
      </c>
      <c r="L404" s="3">
        <f t="shared" ref="L404" si="108">L405</f>
        <v>0</v>
      </c>
      <c r="M404" s="3">
        <f t="shared" ref="M404" si="109">M405</f>
        <v>0</v>
      </c>
      <c r="N404" s="63">
        <f t="shared" si="107"/>
        <v>10942862.5</v>
      </c>
      <c r="O404" s="3">
        <f t="shared" ref="O404:P404" si="110">O405</f>
        <v>0</v>
      </c>
      <c r="P404" s="3">
        <f t="shared" si="110"/>
        <v>0</v>
      </c>
      <c r="Q404" s="3">
        <f t="shared" ref="Q404" si="111">Q405</f>
        <v>0</v>
      </c>
      <c r="R404" s="133" t="s">
        <v>52</v>
      </c>
      <c r="S404" s="133" t="s">
        <v>52</v>
      </c>
    </row>
    <row r="405" spans="1:19" ht="18.75" customHeight="1">
      <c r="A405" s="76">
        <v>73</v>
      </c>
      <c r="B405" s="121" t="s">
        <v>514</v>
      </c>
      <c r="C405" s="95">
        <v>1975</v>
      </c>
      <c r="D405" s="76" t="s">
        <v>75</v>
      </c>
      <c r="E405" s="95">
        <v>2</v>
      </c>
      <c r="F405" s="95">
        <v>2</v>
      </c>
      <c r="G405" s="8">
        <v>833.9</v>
      </c>
      <c r="H405" s="8">
        <v>833.9</v>
      </c>
      <c r="I405" s="8">
        <v>768.1</v>
      </c>
      <c r="J405" s="133">
        <v>22</v>
      </c>
      <c r="K405" s="8">
        <f>L405+M405+N405+O405+P405+Q405</f>
        <v>10942862.5</v>
      </c>
      <c r="L405" s="82">
        <v>0</v>
      </c>
      <c r="M405" s="82">
        <v>0</v>
      </c>
      <c r="N405" s="63">
        <v>10942862.5</v>
      </c>
      <c r="O405" s="2">
        <v>0</v>
      </c>
      <c r="P405" s="2">
        <v>0</v>
      </c>
      <c r="Q405" s="2">
        <v>0</v>
      </c>
      <c r="R405" s="133">
        <v>2028</v>
      </c>
      <c r="S405" s="133">
        <v>2028</v>
      </c>
    </row>
    <row r="406" spans="1:19" ht="36.75" customHeight="1">
      <c r="A406" s="158" t="s">
        <v>318</v>
      </c>
      <c r="B406" s="159"/>
      <c r="C406" s="159"/>
      <c r="D406" s="159"/>
      <c r="E406" s="159"/>
      <c r="F406" s="160"/>
      <c r="G406" s="8">
        <f>SUM(G407:G408)</f>
        <v>1758.7</v>
      </c>
      <c r="H406" s="8">
        <f t="shared" ref="H406:Q406" si="112">SUM(H407:H408)</f>
        <v>1758.7</v>
      </c>
      <c r="I406" s="8">
        <f t="shared" si="112"/>
        <v>1607.8</v>
      </c>
      <c r="J406" s="133">
        <f t="shared" si="112"/>
        <v>46</v>
      </c>
      <c r="K406" s="8">
        <f t="shared" si="112"/>
        <v>22852544.609999999</v>
      </c>
      <c r="L406" s="3">
        <f t="shared" si="112"/>
        <v>0</v>
      </c>
      <c r="M406" s="3">
        <f t="shared" si="112"/>
        <v>0</v>
      </c>
      <c r="N406" s="63">
        <f t="shared" si="112"/>
        <v>22852544.609999999</v>
      </c>
      <c r="O406" s="3">
        <f t="shared" si="112"/>
        <v>0</v>
      </c>
      <c r="P406" s="3">
        <f t="shared" si="112"/>
        <v>0</v>
      </c>
      <c r="Q406" s="3">
        <f t="shared" si="112"/>
        <v>0</v>
      </c>
      <c r="R406" s="133"/>
      <c r="S406" s="133"/>
    </row>
    <row r="407" spans="1:19" ht="18.75" customHeight="1">
      <c r="A407" s="76">
        <v>74</v>
      </c>
      <c r="B407" s="121" t="s">
        <v>751</v>
      </c>
      <c r="C407" s="95">
        <v>1987</v>
      </c>
      <c r="D407" s="76" t="s">
        <v>75</v>
      </c>
      <c r="E407" s="95">
        <v>2</v>
      </c>
      <c r="F407" s="95">
        <v>3</v>
      </c>
      <c r="G407" s="8">
        <v>953.2</v>
      </c>
      <c r="H407" s="8">
        <v>953.2</v>
      </c>
      <c r="I407" s="8">
        <v>862.9</v>
      </c>
      <c r="J407" s="58">
        <v>25</v>
      </c>
      <c r="K407" s="8">
        <v>14176554.449999999</v>
      </c>
      <c r="L407" s="2">
        <v>0</v>
      </c>
      <c r="M407" s="2">
        <v>0</v>
      </c>
      <c r="N407" s="8">
        <v>14176554.449999999</v>
      </c>
      <c r="O407" s="2">
        <v>0</v>
      </c>
      <c r="P407" s="2">
        <v>0</v>
      </c>
      <c r="Q407" s="2">
        <v>0</v>
      </c>
      <c r="R407" s="133">
        <v>2028</v>
      </c>
      <c r="S407" s="133">
        <v>2028</v>
      </c>
    </row>
    <row r="408" spans="1:19" ht="18.75" customHeight="1">
      <c r="A408" s="76">
        <v>75</v>
      </c>
      <c r="B408" s="7" t="s">
        <v>324</v>
      </c>
      <c r="C408" s="95">
        <v>1976</v>
      </c>
      <c r="D408" s="76" t="s">
        <v>75</v>
      </c>
      <c r="E408" s="95">
        <v>2</v>
      </c>
      <c r="F408" s="95">
        <v>2</v>
      </c>
      <c r="G408" s="3">
        <v>805.5</v>
      </c>
      <c r="H408" s="3">
        <v>805.5</v>
      </c>
      <c r="I408" s="3">
        <v>744.9</v>
      </c>
      <c r="J408" s="133">
        <v>21</v>
      </c>
      <c r="K408" s="8">
        <v>8675990.1600000001</v>
      </c>
      <c r="L408" s="2">
        <v>0</v>
      </c>
      <c r="M408" s="2">
        <v>0</v>
      </c>
      <c r="N408" s="8">
        <v>8675990.1600000001</v>
      </c>
      <c r="O408" s="2">
        <v>0</v>
      </c>
      <c r="P408" s="2">
        <v>0</v>
      </c>
      <c r="Q408" s="2">
        <v>0</v>
      </c>
      <c r="R408" s="133">
        <v>2028</v>
      </c>
      <c r="S408" s="133">
        <v>2028</v>
      </c>
    </row>
    <row r="409" spans="1:19" ht="41.25" customHeight="1">
      <c r="A409" s="158" t="s">
        <v>333</v>
      </c>
      <c r="B409" s="159"/>
      <c r="C409" s="159"/>
      <c r="D409" s="159"/>
      <c r="E409" s="159"/>
      <c r="F409" s="160"/>
      <c r="G409" s="8">
        <f>SUM(G410:G411)</f>
        <v>14174.42</v>
      </c>
      <c r="H409" s="8">
        <f t="shared" ref="H409:Q409" si="113">SUM(H410:H411)</f>
        <v>12505.72</v>
      </c>
      <c r="I409" s="8">
        <f t="shared" si="113"/>
        <v>12505.72</v>
      </c>
      <c r="J409" s="133">
        <f t="shared" si="113"/>
        <v>592</v>
      </c>
      <c r="K409" s="8">
        <f t="shared" si="113"/>
        <v>32749963.789999999</v>
      </c>
      <c r="L409" s="3">
        <f t="shared" si="113"/>
        <v>0</v>
      </c>
      <c r="M409" s="3">
        <f t="shared" si="113"/>
        <v>0</v>
      </c>
      <c r="N409" s="8">
        <f t="shared" si="113"/>
        <v>32749963.789999999</v>
      </c>
      <c r="O409" s="3">
        <f t="shared" si="113"/>
        <v>0</v>
      </c>
      <c r="P409" s="3">
        <f t="shared" si="113"/>
        <v>0</v>
      </c>
      <c r="Q409" s="3">
        <f t="shared" si="113"/>
        <v>0</v>
      </c>
      <c r="R409" s="133" t="s">
        <v>52</v>
      </c>
      <c r="S409" s="133" t="s">
        <v>52</v>
      </c>
    </row>
    <row r="410" spans="1:19" ht="18.75" customHeight="1">
      <c r="A410" s="76">
        <v>76</v>
      </c>
      <c r="B410" s="87" t="s">
        <v>551</v>
      </c>
      <c r="C410" s="64">
        <v>1981</v>
      </c>
      <c r="D410" s="76" t="s">
        <v>77</v>
      </c>
      <c r="E410" s="95">
        <v>5</v>
      </c>
      <c r="F410" s="95">
        <v>16</v>
      </c>
      <c r="G410" s="8">
        <v>9054.42</v>
      </c>
      <c r="H410" s="8">
        <v>8078.82</v>
      </c>
      <c r="I410" s="8">
        <v>8078.82</v>
      </c>
      <c r="J410" s="128">
        <v>375</v>
      </c>
      <c r="K410" s="8">
        <v>19972060.68</v>
      </c>
      <c r="L410" s="8">
        <v>0</v>
      </c>
      <c r="M410" s="8">
        <v>0</v>
      </c>
      <c r="N410" s="8">
        <v>19972060.68</v>
      </c>
      <c r="O410" s="2">
        <v>0</v>
      </c>
      <c r="P410" s="2">
        <v>0</v>
      </c>
      <c r="Q410" s="2">
        <v>0</v>
      </c>
      <c r="R410" s="133">
        <v>2028</v>
      </c>
      <c r="S410" s="133">
        <v>2028</v>
      </c>
    </row>
    <row r="411" spans="1:19" ht="18.75" customHeight="1">
      <c r="A411" s="76">
        <v>77</v>
      </c>
      <c r="B411" s="87" t="s">
        <v>552</v>
      </c>
      <c r="C411" s="64">
        <v>1988</v>
      </c>
      <c r="D411" s="76" t="s">
        <v>77</v>
      </c>
      <c r="E411" s="64">
        <v>9</v>
      </c>
      <c r="F411" s="64">
        <v>2</v>
      </c>
      <c r="G411" s="8">
        <v>5120</v>
      </c>
      <c r="H411" s="8">
        <v>4426.8999999999996</v>
      </c>
      <c r="I411" s="8">
        <v>4426.8999999999996</v>
      </c>
      <c r="J411" s="128">
        <v>217</v>
      </c>
      <c r="K411" s="8">
        <v>12777903.109999999</v>
      </c>
      <c r="L411" s="8">
        <v>0</v>
      </c>
      <c r="M411" s="8">
        <v>0</v>
      </c>
      <c r="N411" s="8">
        <v>12777903.109999999</v>
      </c>
      <c r="O411" s="8">
        <v>0</v>
      </c>
      <c r="P411" s="2">
        <v>0</v>
      </c>
      <c r="Q411" s="2">
        <v>0</v>
      </c>
      <c r="R411" s="133">
        <v>2028</v>
      </c>
      <c r="S411" s="133">
        <v>2028</v>
      </c>
    </row>
    <row r="412" spans="1:19" ht="36.75" customHeight="1">
      <c r="A412" s="158" t="s">
        <v>201</v>
      </c>
      <c r="B412" s="159"/>
      <c r="C412" s="159"/>
      <c r="D412" s="159"/>
      <c r="E412" s="159"/>
      <c r="F412" s="160"/>
      <c r="G412" s="8">
        <f>G413</f>
        <v>1504.9</v>
      </c>
      <c r="H412" s="8">
        <f t="shared" ref="H412:Q412" si="114">H413</f>
        <v>1504.9</v>
      </c>
      <c r="I412" s="8">
        <f t="shared" si="114"/>
        <v>1391.3</v>
      </c>
      <c r="J412" s="133">
        <f t="shared" si="114"/>
        <v>38</v>
      </c>
      <c r="K412" s="8">
        <f t="shared" si="114"/>
        <v>6080687.9100000001</v>
      </c>
      <c r="L412" s="3">
        <f t="shared" si="114"/>
        <v>0</v>
      </c>
      <c r="M412" s="3">
        <f t="shared" si="114"/>
        <v>0</v>
      </c>
      <c r="N412" s="63">
        <f t="shared" si="114"/>
        <v>6080687.9100000001</v>
      </c>
      <c r="O412" s="3">
        <f t="shared" si="114"/>
        <v>0</v>
      </c>
      <c r="P412" s="3">
        <f t="shared" si="114"/>
        <v>0</v>
      </c>
      <c r="Q412" s="3">
        <f t="shared" si="114"/>
        <v>0</v>
      </c>
      <c r="R412" s="133" t="s">
        <v>52</v>
      </c>
      <c r="S412" s="133" t="s">
        <v>52</v>
      </c>
    </row>
    <row r="413" spans="1:19" ht="18.75" customHeight="1">
      <c r="A413" s="76">
        <v>78</v>
      </c>
      <c r="B413" s="121" t="s">
        <v>203</v>
      </c>
      <c r="C413" s="95">
        <v>1989</v>
      </c>
      <c r="D413" s="76" t="s">
        <v>77</v>
      </c>
      <c r="E413" s="95">
        <v>3</v>
      </c>
      <c r="F413" s="95">
        <v>3</v>
      </c>
      <c r="G413" s="8">
        <v>1504.9</v>
      </c>
      <c r="H413" s="8">
        <v>1504.9</v>
      </c>
      <c r="I413" s="8">
        <v>1391.3</v>
      </c>
      <c r="J413" s="133">
        <v>38</v>
      </c>
      <c r="K413" s="8">
        <f>L413+M413+N413+O413+P413+Q413</f>
        <v>6080687.9100000001</v>
      </c>
      <c r="L413" s="2">
        <v>0</v>
      </c>
      <c r="M413" s="2">
        <v>0</v>
      </c>
      <c r="N413" s="63">
        <v>6080687.9100000001</v>
      </c>
      <c r="O413" s="2">
        <v>0</v>
      </c>
      <c r="P413" s="2">
        <v>0</v>
      </c>
      <c r="Q413" s="2">
        <v>0</v>
      </c>
      <c r="R413" s="133">
        <v>2028</v>
      </c>
      <c r="S413" s="133">
        <v>2028</v>
      </c>
    </row>
    <row r="414" spans="1:19" ht="41.25" customHeight="1">
      <c r="A414" s="164" t="s">
        <v>41</v>
      </c>
      <c r="B414" s="164"/>
      <c r="C414" s="164"/>
      <c r="D414" s="164"/>
      <c r="E414" s="164"/>
      <c r="F414" s="164"/>
      <c r="G414" s="164"/>
      <c r="H414" s="164"/>
      <c r="I414" s="164"/>
      <c r="J414" s="164"/>
      <c r="K414" s="164"/>
      <c r="L414" s="164"/>
      <c r="M414" s="164"/>
      <c r="N414" s="164"/>
      <c r="O414" s="164"/>
      <c r="P414" s="164"/>
      <c r="Q414" s="164"/>
      <c r="R414" s="164"/>
      <c r="S414" s="164"/>
    </row>
    <row r="415" spans="1:19" ht="18.75" customHeight="1">
      <c r="A415" s="161" t="s">
        <v>328</v>
      </c>
      <c r="B415" s="162"/>
      <c r="C415" s="162"/>
      <c r="D415" s="162"/>
      <c r="E415" s="162"/>
      <c r="F415" s="163"/>
      <c r="G415" s="3">
        <f>G417+G419</f>
        <v>0</v>
      </c>
      <c r="H415" s="3">
        <f t="shared" ref="H415:Q415" si="115">H417+H419</f>
        <v>0</v>
      </c>
      <c r="I415" s="3">
        <f t="shared" si="115"/>
        <v>0</v>
      </c>
      <c r="J415" s="13">
        <f t="shared" si="115"/>
        <v>0</v>
      </c>
      <c r="K415" s="3">
        <f t="shared" si="115"/>
        <v>0</v>
      </c>
      <c r="L415" s="3">
        <f t="shared" si="115"/>
        <v>0</v>
      </c>
      <c r="M415" s="3">
        <f t="shared" si="115"/>
        <v>0</v>
      </c>
      <c r="N415" s="3">
        <f t="shared" si="115"/>
        <v>0</v>
      </c>
      <c r="O415" s="3">
        <f t="shared" si="115"/>
        <v>0</v>
      </c>
      <c r="P415" s="3">
        <f t="shared" si="115"/>
        <v>0</v>
      </c>
      <c r="Q415" s="3">
        <f t="shared" si="115"/>
        <v>0</v>
      </c>
      <c r="R415" s="133" t="s">
        <v>52</v>
      </c>
      <c r="S415" s="133" t="s">
        <v>52</v>
      </c>
    </row>
    <row r="416" spans="1:19" ht="41.25" customHeight="1">
      <c r="A416" s="164" t="s">
        <v>19</v>
      </c>
      <c r="B416" s="164"/>
      <c r="C416" s="164"/>
      <c r="D416" s="164"/>
      <c r="E416" s="164"/>
      <c r="F416" s="164"/>
      <c r="G416" s="164"/>
      <c r="H416" s="164"/>
      <c r="I416" s="164"/>
      <c r="J416" s="164"/>
      <c r="K416" s="164"/>
      <c r="L416" s="164"/>
      <c r="M416" s="164"/>
      <c r="N416" s="164"/>
      <c r="O416" s="164"/>
      <c r="P416" s="164"/>
      <c r="Q416" s="164"/>
      <c r="R416" s="164"/>
      <c r="S416" s="164"/>
    </row>
    <row r="417" spans="1:19" ht="18.75" customHeight="1">
      <c r="A417" s="161" t="s">
        <v>328</v>
      </c>
      <c r="B417" s="162"/>
      <c r="C417" s="162"/>
      <c r="D417" s="162"/>
      <c r="E417" s="162"/>
      <c r="F417" s="163"/>
      <c r="G417" s="3">
        <f t="shared" ref="G417:Q419" si="116">G418</f>
        <v>0</v>
      </c>
      <c r="H417" s="3">
        <f t="shared" si="116"/>
        <v>0</v>
      </c>
      <c r="I417" s="3">
        <f t="shared" si="116"/>
        <v>0</v>
      </c>
      <c r="J417" s="13">
        <f t="shared" si="116"/>
        <v>0</v>
      </c>
      <c r="K417" s="3">
        <f t="shared" si="116"/>
        <v>0</v>
      </c>
      <c r="L417" s="3">
        <f t="shared" si="116"/>
        <v>0</v>
      </c>
      <c r="M417" s="3">
        <f t="shared" si="116"/>
        <v>0</v>
      </c>
      <c r="N417" s="3">
        <f t="shared" si="116"/>
        <v>0</v>
      </c>
      <c r="O417" s="3">
        <f t="shared" si="116"/>
        <v>0</v>
      </c>
      <c r="P417" s="3">
        <f t="shared" si="116"/>
        <v>0</v>
      </c>
      <c r="Q417" s="3">
        <f t="shared" si="116"/>
        <v>0</v>
      </c>
      <c r="R417" s="133" t="s">
        <v>52</v>
      </c>
      <c r="S417" s="133" t="s">
        <v>52</v>
      </c>
    </row>
    <row r="418" spans="1:19" ht="44.25" customHeight="1">
      <c r="A418" s="164" t="s">
        <v>20</v>
      </c>
      <c r="B418" s="164"/>
      <c r="C418" s="164"/>
      <c r="D418" s="164"/>
      <c r="E418" s="164"/>
      <c r="F418" s="164"/>
      <c r="G418" s="164"/>
      <c r="H418" s="164"/>
      <c r="I418" s="164"/>
      <c r="J418" s="164"/>
      <c r="K418" s="164"/>
      <c r="L418" s="164"/>
      <c r="M418" s="164"/>
      <c r="N418" s="164"/>
      <c r="O418" s="164"/>
      <c r="P418" s="164"/>
      <c r="Q418" s="164"/>
      <c r="R418" s="164"/>
      <c r="S418" s="164"/>
    </row>
    <row r="419" spans="1:19" ht="18.75" customHeight="1">
      <c r="A419" s="161" t="s">
        <v>328</v>
      </c>
      <c r="B419" s="162"/>
      <c r="C419" s="162"/>
      <c r="D419" s="162"/>
      <c r="E419" s="162"/>
      <c r="F419" s="163"/>
      <c r="G419" s="3">
        <f t="shared" si="116"/>
        <v>0</v>
      </c>
      <c r="H419" s="3">
        <f t="shared" si="116"/>
        <v>0</v>
      </c>
      <c r="I419" s="3">
        <f t="shared" si="116"/>
        <v>0</v>
      </c>
      <c r="J419" s="13">
        <f t="shared" si="116"/>
        <v>0</v>
      </c>
      <c r="K419" s="3">
        <f t="shared" si="116"/>
        <v>0</v>
      </c>
      <c r="L419" s="3">
        <f t="shared" si="116"/>
        <v>0</v>
      </c>
      <c r="M419" s="3">
        <f t="shared" si="116"/>
        <v>0</v>
      </c>
      <c r="N419" s="3">
        <f t="shared" si="116"/>
        <v>0</v>
      </c>
      <c r="O419" s="3">
        <f t="shared" si="116"/>
        <v>0</v>
      </c>
      <c r="P419" s="3">
        <f t="shared" si="116"/>
        <v>0</v>
      </c>
      <c r="Q419" s="3">
        <f t="shared" si="116"/>
        <v>0</v>
      </c>
      <c r="R419" s="133" t="s">
        <v>52</v>
      </c>
      <c r="S419" s="133" t="s">
        <v>52</v>
      </c>
    </row>
    <row r="420" spans="1:19" ht="34.15" customHeight="1">
      <c r="A420" s="164" t="s">
        <v>650</v>
      </c>
      <c r="B420" s="164"/>
      <c r="C420" s="164"/>
      <c r="D420" s="164"/>
      <c r="E420" s="164"/>
      <c r="F420" s="164"/>
      <c r="G420" s="164"/>
      <c r="H420" s="164"/>
      <c r="I420" s="164"/>
      <c r="J420" s="164"/>
      <c r="K420" s="164"/>
      <c r="L420" s="164"/>
      <c r="M420" s="164"/>
      <c r="N420" s="164"/>
      <c r="O420" s="164"/>
      <c r="P420" s="164"/>
      <c r="Q420" s="164"/>
      <c r="R420" s="164"/>
      <c r="S420" s="164"/>
    </row>
    <row r="421" spans="1:19" ht="18.75" customHeight="1">
      <c r="A421" s="161" t="s">
        <v>328</v>
      </c>
      <c r="B421" s="162"/>
      <c r="C421" s="162"/>
      <c r="D421" s="162"/>
      <c r="E421" s="162"/>
      <c r="F421" s="163"/>
      <c r="G421" s="8">
        <f t="shared" ref="G421:Q421" si="117">G423+G803</f>
        <v>683602.22999999986</v>
      </c>
      <c r="H421" s="8">
        <f t="shared" si="117"/>
        <v>593464.04999999993</v>
      </c>
      <c r="I421" s="8">
        <f t="shared" si="117"/>
        <v>506527.37999999995</v>
      </c>
      <c r="J421" s="58">
        <f t="shared" si="117"/>
        <v>24333</v>
      </c>
      <c r="K421" s="8">
        <f t="shared" si="117"/>
        <v>2235223130.7175722</v>
      </c>
      <c r="L421" s="8">
        <f t="shared" si="117"/>
        <v>0</v>
      </c>
      <c r="M421" s="8">
        <f t="shared" si="117"/>
        <v>394000</v>
      </c>
      <c r="N421" s="8">
        <f t="shared" si="117"/>
        <v>1473089005.9259725</v>
      </c>
      <c r="O421" s="8">
        <f t="shared" si="117"/>
        <v>761740124.79000008</v>
      </c>
      <c r="P421" s="8">
        <f t="shared" si="117"/>
        <v>0</v>
      </c>
      <c r="Q421" s="8">
        <f t="shared" si="117"/>
        <v>1.862645149230957E-9</v>
      </c>
      <c r="R421" s="133" t="s">
        <v>52</v>
      </c>
      <c r="S421" s="133" t="s">
        <v>52</v>
      </c>
    </row>
    <row r="422" spans="1:19" ht="33.75" customHeight="1">
      <c r="A422" s="164" t="s">
        <v>31</v>
      </c>
      <c r="B422" s="164"/>
      <c r="C422" s="164"/>
      <c r="D422" s="164"/>
      <c r="E422" s="164"/>
      <c r="F422" s="164"/>
      <c r="G422" s="164"/>
      <c r="H422" s="164"/>
      <c r="I422" s="164"/>
      <c r="J422" s="164"/>
      <c r="K422" s="164"/>
      <c r="L422" s="164"/>
      <c r="M422" s="164"/>
      <c r="N422" s="164"/>
      <c r="O422" s="164"/>
      <c r="P422" s="164"/>
      <c r="Q422" s="164"/>
      <c r="R422" s="164"/>
      <c r="S422" s="164"/>
    </row>
    <row r="423" spans="1:19" ht="18.75" customHeight="1">
      <c r="A423" s="161" t="s">
        <v>328</v>
      </c>
      <c r="B423" s="162"/>
      <c r="C423" s="162"/>
      <c r="D423" s="162"/>
      <c r="E423" s="162"/>
      <c r="F423" s="163"/>
      <c r="G423" s="8">
        <f t="shared" ref="G423:Q423" si="118">G424+G560+G569+G580+G584+G589+G595+G611+G623+G644+G647+G652+G654+G663+G668+G693+G703+G722+G724+G731+G747+G759+G762+G764+G766+G786+G788+G790+G792+G794+G796+G799</f>
        <v>675758.12999999989</v>
      </c>
      <c r="H423" s="8">
        <f t="shared" si="118"/>
        <v>585971.14999999991</v>
      </c>
      <c r="I423" s="8">
        <f t="shared" si="118"/>
        <v>499034.47999999992</v>
      </c>
      <c r="J423" s="58">
        <f t="shared" si="118"/>
        <v>24033</v>
      </c>
      <c r="K423" s="8">
        <f t="shared" si="118"/>
        <v>2234072155.7175722</v>
      </c>
      <c r="L423" s="8">
        <f t="shared" si="118"/>
        <v>0</v>
      </c>
      <c r="M423" s="8">
        <f t="shared" si="118"/>
        <v>394000</v>
      </c>
      <c r="N423" s="8">
        <f t="shared" si="118"/>
        <v>1471938030.9259725</v>
      </c>
      <c r="O423" s="8">
        <f t="shared" si="118"/>
        <v>761740124.79000008</v>
      </c>
      <c r="P423" s="8">
        <f t="shared" si="118"/>
        <v>0</v>
      </c>
      <c r="Q423" s="8">
        <f t="shared" si="118"/>
        <v>1.862645149230957E-9</v>
      </c>
      <c r="R423" s="133" t="s">
        <v>52</v>
      </c>
      <c r="S423" s="133" t="s">
        <v>52</v>
      </c>
    </row>
    <row r="424" spans="1:19" ht="38.25" customHeight="1">
      <c r="A424" s="158" t="s">
        <v>475</v>
      </c>
      <c r="B424" s="159"/>
      <c r="C424" s="159"/>
      <c r="D424" s="159"/>
      <c r="E424" s="159"/>
      <c r="F424" s="160"/>
      <c r="G424" s="8">
        <f>SUM(G425:G559)</f>
        <v>397106.08</v>
      </c>
      <c r="H424" s="63">
        <f t="shared" ref="H424:Q424" si="119">SUM(H425:H559)</f>
        <v>349785.26000000007</v>
      </c>
      <c r="I424" s="63">
        <f t="shared" si="119"/>
        <v>309966.95999999996</v>
      </c>
      <c r="J424" s="58">
        <f t="shared" si="119"/>
        <v>14466</v>
      </c>
      <c r="K424" s="8">
        <f t="shared" si="119"/>
        <v>1353368558.4969604</v>
      </c>
      <c r="L424" s="8">
        <f t="shared" si="119"/>
        <v>0</v>
      </c>
      <c r="M424" s="8">
        <f t="shared" si="119"/>
        <v>0</v>
      </c>
      <c r="N424" s="63">
        <f t="shared" si="119"/>
        <v>775592501.90616</v>
      </c>
      <c r="O424" s="63">
        <f t="shared" si="119"/>
        <v>577776056.59000003</v>
      </c>
      <c r="P424" s="3">
        <f t="shared" si="119"/>
        <v>0</v>
      </c>
      <c r="Q424" s="3">
        <f t="shared" si="119"/>
        <v>0</v>
      </c>
      <c r="R424" s="133" t="s">
        <v>52</v>
      </c>
      <c r="S424" s="133" t="s">
        <v>52</v>
      </c>
    </row>
    <row r="425" spans="1:19" ht="18.75" customHeight="1">
      <c r="A425" s="76">
        <v>1</v>
      </c>
      <c r="B425" s="121" t="s">
        <v>359</v>
      </c>
      <c r="C425" s="64">
        <v>1964</v>
      </c>
      <c r="D425" s="76" t="s">
        <v>75</v>
      </c>
      <c r="E425" s="64">
        <v>2</v>
      </c>
      <c r="F425" s="64">
        <v>2</v>
      </c>
      <c r="G425" s="8">
        <v>400.3</v>
      </c>
      <c r="H425" s="8">
        <v>357.8</v>
      </c>
      <c r="I425" s="8">
        <f>H425-139.1</f>
        <v>218.70000000000002</v>
      </c>
      <c r="J425" s="133">
        <v>23</v>
      </c>
      <c r="K425" s="8">
        <v>2381298</v>
      </c>
      <c r="L425" s="8">
        <v>0</v>
      </c>
      <c r="M425" s="8">
        <v>0</v>
      </c>
      <c r="N425" s="8">
        <f>K425</f>
        <v>2381298</v>
      </c>
      <c r="O425" s="8">
        <v>0</v>
      </c>
      <c r="P425" s="8">
        <v>0</v>
      </c>
      <c r="Q425" s="8">
        <v>0</v>
      </c>
      <c r="R425" s="133">
        <v>2028</v>
      </c>
      <c r="S425" s="133">
        <v>2028</v>
      </c>
    </row>
    <row r="426" spans="1:19" ht="18.75" customHeight="1">
      <c r="A426" s="76">
        <v>2</v>
      </c>
      <c r="B426" s="121" t="s">
        <v>591</v>
      </c>
      <c r="C426" s="76">
        <v>1954</v>
      </c>
      <c r="D426" s="76" t="s">
        <v>75</v>
      </c>
      <c r="E426" s="95">
        <v>3</v>
      </c>
      <c r="F426" s="95">
        <v>3</v>
      </c>
      <c r="G426" s="8">
        <v>2438.4</v>
      </c>
      <c r="H426" s="8">
        <v>2262.6999999999998</v>
      </c>
      <c r="I426" s="8">
        <f>H426-242.2</f>
        <v>2020.4999999999998</v>
      </c>
      <c r="J426" s="128">
        <v>70</v>
      </c>
      <c r="K426" s="8">
        <v>7895157.5899999999</v>
      </c>
      <c r="L426" s="8">
        <v>0</v>
      </c>
      <c r="M426" s="8">
        <v>0</v>
      </c>
      <c r="N426" s="8">
        <v>3266338</v>
      </c>
      <c r="O426" s="8">
        <v>4628819.59</v>
      </c>
      <c r="P426" s="8">
        <v>0</v>
      </c>
      <c r="Q426" s="8">
        <v>0</v>
      </c>
      <c r="R426" s="133">
        <v>2028</v>
      </c>
      <c r="S426" s="133">
        <v>2028</v>
      </c>
    </row>
    <row r="427" spans="1:19" ht="18.75" customHeight="1">
      <c r="A427" s="76">
        <v>3</v>
      </c>
      <c r="B427" s="121" t="s">
        <v>592</v>
      </c>
      <c r="C427" s="64">
        <v>1953</v>
      </c>
      <c r="D427" s="76" t="s">
        <v>75</v>
      </c>
      <c r="E427" s="95">
        <v>3</v>
      </c>
      <c r="F427" s="95">
        <v>3</v>
      </c>
      <c r="G427" s="8">
        <v>2239.1</v>
      </c>
      <c r="H427" s="8">
        <v>1857.6</v>
      </c>
      <c r="I427" s="8">
        <f>H427-316.2</f>
        <v>1541.3999999999999</v>
      </c>
      <c r="J427" s="133">
        <v>76</v>
      </c>
      <c r="K427" s="8">
        <v>6945106.9900000002</v>
      </c>
      <c r="L427" s="8">
        <v>0</v>
      </c>
      <c r="M427" s="8">
        <v>0</v>
      </c>
      <c r="N427" s="8">
        <v>3240797</v>
      </c>
      <c r="O427" s="8">
        <v>3704309.99</v>
      </c>
      <c r="P427" s="8">
        <v>0</v>
      </c>
      <c r="Q427" s="8">
        <v>0</v>
      </c>
      <c r="R427" s="133">
        <v>2028</v>
      </c>
      <c r="S427" s="133">
        <v>2028</v>
      </c>
    </row>
    <row r="428" spans="1:19" ht="18.75" customHeight="1">
      <c r="A428" s="76">
        <v>4</v>
      </c>
      <c r="B428" s="121" t="s">
        <v>360</v>
      </c>
      <c r="C428" s="64">
        <v>1914</v>
      </c>
      <c r="D428" s="76" t="s">
        <v>75</v>
      </c>
      <c r="E428" s="95">
        <v>4</v>
      </c>
      <c r="F428" s="95">
        <v>5</v>
      </c>
      <c r="G428" s="8">
        <v>2958.4</v>
      </c>
      <c r="H428" s="8">
        <v>2592.5</v>
      </c>
      <c r="I428" s="8">
        <v>2333.4</v>
      </c>
      <c r="J428" s="58">
        <v>112</v>
      </c>
      <c r="K428" s="8">
        <v>26742852.729999997</v>
      </c>
      <c r="L428" s="8">
        <v>0</v>
      </c>
      <c r="M428" s="8">
        <v>0</v>
      </c>
      <c r="N428" s="8">
        <v>22102603.809999999</v>
      </c>
      <c r="O428" s="8">
        <v>4640248.92</v>
      </c>
      <c r="P428" s="8">
        <v>0</v>
      </c>
      <c r="Q428" s="8">
        <v>0</v>
      </c>
      <c r="R428" s="133">
        <v>2028</v>
      </c>
      <c r="S428" s="133">
        <v>2028</v>
      </c>
    </row>
    <row r="429" spans="1:19" ht="18.75" customHeight="1">
      <c r="A429" s="76">
        <v>5</v>
      </c>
      <c r="B429" s="121" t="s">
        <v>361</v>
      </c>
      <c r="C429" s="76">
        <v>1959</v>
      </c>
      <c r="D429" s="76" t="s">
        <v>75</v>
      </c>
      <c r="E429" s="95">
        <v>2</v>
      </c>
      <c r="F429" s="95">
        <v>1</v>
      </c>
      <c r="G429" s="8">
        <v>301.10000000000002</v>
      </c>
      <c r="H429" s="8">
        <v>278.2</v>
      </c>
      <c r="I429" s="8">
        <f>278.2-37.9</f>
        <v>240.29999999999998</v>
      </c>
      <c r="J429" s="15">
        <v>17</v>
      </c>
      <c r="K429" s="8">
        <v>813823.57999999984</v>
      </c>
      <c r="L429" s="8">
        <v>0</v>
      </c>
      <c r="M429" s="8">
        <v>0</v>
      </c>
      <c r="N429" s="8">
        <v>405647.25</v>
      </c>
      <c r="O429" s="8">
        <v>408176.33</v>
      </c>
      <c r="P429" s="8">
        <v>0</v>
      </c>
      <c r="Q429" s="8">
        <v>0</v>
      </c>
      <c r="R429" s="133">
        <v>2028</v>
      </c>
      <c r="S429" s="133">
        <v>2028</v>
      </c>
    </row>
    <row r="430" spans="1:19" ht="18.75" customHeight="1">
      <c r="A430" s="76">
        <v>6</v>
      </c>
      <c r="B430" s="121" t="s">
        <v>362</v>
      </c>
      <c r="C430" s="95">
        <v>1959</v>
      </c>
      <c r="D430" s="76" t="s">
        <v>75</v>
      </c>
      <c r="E430" s="95">
        <v>2</v>
      </c>
      <c r="F430" s="95">
        <v>2</v>
      </c>
      <c r="G430" s="8">
        <v>687.5</v>
      </c>
      <c r="H430" s="8">
        <v>638.6</v>
      </c>
      <c r="I430" s="8">
        <v>638.6</v>
      </c>
      <c r="J430" s="133">
        <v>26</v>
      </c>
      <c r="K430" s="8">
        <v>2147502.0300000003</v>
      </c>
      <c r="L430" s="8">
        <v>0</v>
      </c>
      <c r="M430" s="8">
        <v>0</v>
      </c>
      <c r="N430" s="8">
        <v>1429079.72</v>
      </c>
      <c r="O430" s="8">
        <v>718422.31</v>
      </c>
      <c r="P430" s="8">
        <v>0</v>
      </c>
      <c r="Q430" s="8">
        <v>0</v>
      </c>
      <c r="R430" s="133">
        <v>2028</v>
      </c>
      <c r="S430" s="133">
        <v>2028</v>
      </c>
    </row>
    <row r="431" spans="1:19" ht="18.75" customHeight="1">
      <c r="A431" s="76">
        <v>7</v>
      </c>
      <c r="B431" s="121" t="s">
        <v>590</v>
      </c>
      <c r="C431" s="95">
        <v>1959</v>
      </c>
      <c r="D431" s="76" t="s">
        <v>75</v>
      </c>
      <c r="E431" s="95">
        <v>2</v>
      </c>
      <c r="F431" s="95">
        <v>2</v>
      </c>
      <c r="G431" s="8">
        <v>700.6</v>
      </c>
      <c r="H431" s="8">
        <v>651.9</v>
      </c>
      <c r="I431" s="8">
        <v>651.9</v>
      </c>
      <c r="J431" s="133">
        <v>26</v>
      </c>
      <c r="K431" s="8">
        <v>2276123.7600000002</v>
      </c>
      <c r="L431" s="8">
        <v>0</v>
      </c>
      <c r="M431" s="8">
        <v>0</v>
      </c>
      <c r="N431" s="8">
        <v>1454817.32</v>
      </c>
      <c r="O431" s="8">
        <v>821306.44</v>
      </c>
      <c r="P431" s="8">
        <v>0</v>
      </c>
      <c r="Q431" s="8">
        <v>0</v>
      </c>
      <c r="R431" s="133">
        <v>2028</v>
      </c>
      <c r="S431" s="133">
        <v>2028</v>
      </c>
    </row>
    <row r="432" spans="1:19" ht="18.75" customHeight="1">
      <c r="A432" s="76">
        <v>8</v>
      </c>
      <c r="B432" s="121" t="s">
        <v>363</v>
      </c>
      <c r="C432" s="95">
        <v>1860</v>
      </c>
      <c r="D432" s="76" t="s">
        <v>75</v>
      </c>
      <c r="E432" s="95">
        <v>3</v>
      </c>
      <c r="F432" s="95">
        <v>1</v>
      </c>
      <c r="G432" s="8">
        <v>632.1</v>
      </c>
      <c r="H432" s="8">
        <v>533.6</v>
      </c>
      <c r="I432" s="8">
        <v>533.6</v>
      </c>
      <c r="J432" s="133">
        <v>11</v>
      </c>
      <c r="K432" s="8">
        <v>1481378.81</v>
      </c>
      <c r="L432" s="8">
        <v>0</v>
      </c>
      <c r="M432" s="8">
        <v>0</v>
      </c>
      <c r="N432" s="8">
        <v>914559.01</v>
      </c>
      <c r="O432" s="8">
        <v>566819.80000000005</v>
      </c>
      <c r="P432" s="8">
        <v>0</v>
      </c>
      <c r="Q432" s="8">
        <v>0</v>
      </c>
      <c r="R432" s="133">
        <v>2028</v>
      </c>
      <c r="S432" s="133">
        <v>2028</v>
      </c>
    </row>
    <row r="433" spans="1:19" ht="18.75" customHeight="1">
      <c r="A433" s="76">
        <v>9</v>
      </c>
      <c r="B433" s="121" t="s">
        <v>589</v>
      </c>
      <c r="C433" s="64">
        <v>1957</v>
      </c>
      <c r="D433" s="76" t="s">
        <v>75</v>
      </c>
      <c r="E433" s="64">
        <v>4</v>
      </c>
      <c r="F433" s="64">
        <v>4</v>
      </c>
      <c r="G433" s="8">
        <v>3135.2</v>
      </c>
      <c r="H433" s="8">
        <v>2702.3</v>
      </c>
      <c r="I433" s="8">
        <f>2580.3-39.91</f>
        <v>2540.3900000000003</v>
      </c>
      <c r="J433" s="13">
        <v>79</v>
      </c>
      <c r="K433" s="8">
        <v>12598670.41</v>
      </c>
      <c r="L433" s="8">
        <v>0</v>
      </c>
      <c r="M433" s="8">
        <v>0</v>
      </c>
      <c r="N433" s="8">
        <v>7325272.1299999999</v>
      </c>
      <c r="O433" s="8">
        <v>5273398.28</v>
      </c>
      <c r="P433" s="8">
        <v>0</v>
      </c>
      <c r="Q433" s="8">
        <v>0</v>
      </c>
      <c r="R433" s="133">
        <v>2028</v>
      </c>
      <c r="S433" s="133">
        <v>2028</v>
      </c>
    </row>
    <row r="434" spans="1:19" ht="18.75" customHeight="1">
      <c r="A434" s="76">
        <v>10</v>
      </c>
      <c r="B434" s="121" t="s">
        <v>364</v>
      </c>
      <c r="C434" s="64">
        <v>1966</v>
      </c>
      <c r="D434" s="76" t="s">
        <v>75</v>
      </c>
      <c r="E434" s="64">
        <v>4</v>
      </c>
      <c r="F434" s="64">
        <v>4</v>
      </c>
      <c r="G434" s="8">
        <v>2740.8</v>
      </c>
      <c r="H434" s="8">
        <v>2546.4</v>
      </c>
      <c r="I434" s="8">
        <v>2546.4</v>
      </c>
      <c r="J434" s="13">
        <v>128</v>
      </c>
      <c r="K434" s="8">
        <v>2224973.3199999998</v>
      </c>
      <c r="L434" s="8">
        <v>0</v>
      </c>
      <c r="M434" s="8">
        <v>0</v>
      </c>
      <c r="N434" s="8">
        <f>K434</f>
        <v>2224973.3199999998</v>
      </c>
      <c r="O434" s="8">
        <v>0</v>
      </c>
      <c r="P434" s="8">
        <v>0</v>
      </c>
      <c r="Q434" s="8">
        <v>0</v>
      </c>
      <c r="R434" s="133">
        <v>2028</v>
      </c>
      <c r="S434" s="133">
        <v>2028</v>
      </c>
    </row>
    <row r="435" spans="1:19" ht="18.75" customHeight="1">
      <c r="A435" s="76">
        <v>11</v>
      </c>
      <c r="B435" s="121" t="s">
        <v>365</v>
      </c>
      <c r="C435" s="95">
        <v>1955</v>
      </c>
      <c r="D435" s="76" t="s">
        <v>75</v>
      </c>
      <c r="E435" s="95">
        <v>2</v>
      </c>
      <c r="F435" s="95">
        <v>2</v>
      </c>
      <c r="G435" s="8">
        <v>743.3</v>
      </c>
      <c r="H435" s="8">
        <v>654.79999999999995</v>
      </c>
      <c r="I435" s="8">
        <f>585.8-80.7</f>
        <v>505.09999999999997</v>
      </c>
      <c r="J435" s="133">
        <v>29</v>
      </c>
      <c r="K435" s="8">
        <v>1805529.52</v>
      </c>
      <c r="L435" s="8">
        <v>0</v>
      </c>
      <c r="M435" s="8">
        <v>0</v>
      </c>
      <c r="N435" s="8">
        <v>1109964.3</v>
      </c>
      <c r="O435" s="8">
        <v>695565.22</v>
      </c>
      <c r="P435" s="8">
        <v>0</v>
      </c>
      <c r="Q435" s="8">
        <v>0</v>
      </c>
      <c r="R435" s="133">
        <v>2028</v>
      </c>
      <c r="S435" s="133">
        <v>2028</v>
      </c>
    </row>
    <row r="436" spans="1:19" ht="18.75" customHeight="1">
      <c r="A436" s="76">
        <v>12</v>
      </c>
      <c r="B436" s="121" t="s">
        <v>593</v>
      </c>
      <c r="C436" s="76">
        <v>1955</v>
      </c>
      <c r="D436" s="76" t="s">
        <v>75</v>
      </c>
      <c r="E436" s="95">
        <v>2</v>
      </c>
      <c r="F436" s="95">
        <v>2</v>
      </c>
      <c r="G436" s="8">
        <f>894.5+87.2</f>
        <v>981.7</v>
      </c>
      <c r="H436" s="8">
        <v>894.5</v>
      </c>
      <c r="I436" s="8">
        <f>H436-50.2</f>
        <v>844.3</v>
      </c>
      <c r="J436" s="15">
        <v>37</v>
      </c>
      <c r="K436" s="8">
        <v>3277475.14</v>
      </c>
      <c r="L436" s="8">
        <v>0</v>
      </c>
      <c r="M436" s="8">
        <v>0</v>
      </c>
      <c r="N436" s="8">
        <v>1137886</v>
      </c>
      <c r="O436" s="8">
        <v>2139589.14</v>
      </c>
      <c r="P436" s="8">
        <v>0</v>
      </c>
      <c r="Q436" s="8">
        <v>0</v>
      </c>
      <c r="R436" s="133">
        <v>2028</v>
      </c>
      <c r="S436" s="133">
        <v>2028</v>
      </c>
    </row>
    <row r="437" spans="1:19" ht="18.75" customHeight="1">
      <c r="A437" s="76">
        <v>13</v>
      </c>
      <c r="B437" s="121" t="s">
        <v>367</v>
      </c>
      <c r="C437" s="76">
        <v>1973</v>
      </c>
      <c r="D437" s="76" t="s">
        <v>77</v>
      </c>
      <c r="E437" s="95">
        <v>9</v>
      </c>
      <c r="F437" s="95">
        <v>6</v>
      </c>
      <c r="G437" s="8">
        <v>12984.5</v>
      </c>
      <c r="H437" s="8">
        <v>11178.3</v>
      </c>
      <c r="I437" s="8">
        <f>11013.2-617.2</f>
        <v>10396</v>
      </c>
      <c r="J437" s="15">
        <v>576</v>
      </c>
      <c r="K437" s="8">
        <v>33628098.259999998</v>
      </c>
      <c r="L437" s="8">
        <v>0</v>
      </c>
      <c r="M437" s="8">
        <v>0</v>
      </c>
      <c r="N437" s="8">
        <v>29033804.289999999</v>
      </c>
      <c r="O437" s="8">
        <v>4594293.97</v>
      </c>
      <c r="P437" s="8">
        <v>0</v>
      </c>
      <c r="Q437" s="8">
        <v>0</v>
      </c>
      <c r="R437" s="133">
        <v>2028</v>
      </c>
      <c r="S437" s="133">
        <v>2028</v>
      </c>
    </row>
    <row r="438" spans="1:19" ht="18.75" customHeight="1">
      <c r="A438" s="76">
        <v>14</v>
      </c>
      <c r="B438" s="121" t="s">
        <v>368</v>
      </c>
      <c r="C438" s="76">
        <v>1884</v>
      </c>
      <c r="D438" s="76" t="s">
        <v>75</v>
      </c>
      <c r="E438" s="95">
        <v>2</v>
      </c>
      <c r="F438" s="95">
        <v>2</v>
      </c>
      <c r="G438" s="8">
        <v>975.5</v>
      </c>
      <c r="H438" s="8">
        <v>886</v>
      </c>
      <c r="I438" s="8">
        <v>562.70000000000005</v>
      </c>
      <c r="J438" s="15">
        <v>52</v>
      </c>
      <c r="K438" s="8">
        <v>2872926.99</v>
      </c>
      <c r="L438" s="8">
        <v>0</v>
      </c>
      <c r="M438" s="8">
        <v>0</v>
      </c>
      <c r="N438" s="8">
        <v>712746.19</v>
      </c>
      <c r="O438" s="8">
        <v>2160180.7999999998</v>
      </c>
      <c r="P438" s="8">
        <v>0</v>
      </c>
      <c r="Q438" s="8">
        <v>0</v>
      </c>
      <c r="R438" s="133">
        <v>2028</v>
      </c>
      <c r="S438" s="133">
        <v>2028</v>
      </c>
    </row>
    <row r="439" spans="1:19" ht="18.75" customHeight="1">
      <c r="A439" s="76">
        <v>15</v>
      </c>
      <c r="B439" s="121" t="s">
        <v>594</v>
      </c>
      <c r="C439" s="64">
        <v>1961</v>
      </c>
      <c r="D439" s="76" t="s">
        <v>75</v>
      </c>
      <c r="E439" s="64">
        <v>5</v>
      </c>
      <c r="F439" s="64">
        <v>2</v>
      </c>
      <c r="G439" s="8">
        <v>1732.1</v>
      </c>
      <c r="H439" s="8">
        <v>1608.1</v>
      </c>
      <c r="I439" s="8">
        <f>1608.1-263.9</f>
        <v>1344.1999999999998</v>
      </c>
      <c r="J439" s="13">
        <v>79</v>
      </c>
      <c r="K439" s="8">
        <v>9662753.8200000003</v>
      </c>
      <c r="L439" s="8">
        <v>0</v>
      </c>
      <c r="M439" s="8">
        <v>0</v>
      </c>
      <c r="N439" s="8">
        <f>5240312.92</f>
        <v>5240312.92</v>
      </c>
      <c r="O439" s="8">
        <f>4422440.9</f>
        <v>4422440.9000000004</v>
      </c>
      <c r="P439" s="8">
        <v>0</v>
      </c>
      <c r="Q439" s="8">
        <v>0</v>
      </c>
      <c r="R439" s="133">
        <v>2028</v>
      </c>
      <c r="S439" s="133">
        <v>2028</v>
      </c>
    </row>
    <row r="440" spans="1:19" ht="18.75" customHeight="1">
      <c r="A440" s="76">
        <v>16</v>
      </c>
      <c r="B440" s="121" t="s">
        <v>369</v>
      </c>
      <c r="C440" s="95" t="s">
        <v>163</v>
      </c>
      <c r="D440" s="76" t="s">
        <v>75</v>
      </c>
      <c r="E440" s="95">
        <v>4</v>
      </c>
      <c r="F440" s="95">
        <v>2</v>
      </c>
      <c r="G440" s="8">
        <v>1002.4</v>
      </c>
      <c r="H440" s="8">
        <v>878.31</v>
      </c>
      <c r="I440" s="8">
        <v>586.1</v>
      </c>
      <c r="J440" s="133">
        <v>26</v>
      </c>
      <c r="K440" s="8">
        <v>4845283.5500000007</v>
      </c>
      <c r="L440" s="8">
        <v>0</v>
      </c>
      <c r="M440" s="8">
        <v>0</v>
      </c>
      <c r="N440" s="8">
        <v>1846551.81</v>
      </c>
      <c r="O440" s="8">
        <v>2998731.74</v>
      </c>
      <c r="P440" s="8">
        <v>0</v>
      </c>
      <c r="Q440" s="8">
        <v>0</v>
      </c>
      <c r="R440" s="133">
        <v>2028</v>
      </c>
      <c r="S440" s="133">
        <v>2028</v>
      </c>
    </row>
    <row r="441" spans="1:19" ht="18.75" customHeight="1">
      <c r="A441" s="76">
        <v>17</v>
      </c>
      <c r="B441" s="121" t="s">
        <v>371</v>
      </c>
      <c r="C441" s="76">
        <v>1977</v>
      </c>
      <c r="D441" s="76" t="s">
        <v>75</v>
      </c>
      <c r="E441" s="95">
        <v>5</v>
      </c>
      <c r="F441" s="95">
        <v>6</v>
      </c>
      <c r="G441" s="8">
        <v>4612</v>
      </c>
      <c r="H441" s="8">
        <v>4552.5</v>
      </c>
      <c r="I441" s="8">
        <v>4176.1000000000004</v>
      </c>
      <c r="J441" s="15">
        <v>191</v>
      </c>
      <c r="K441" s="8">
        <v>27868085.329999998</v>
      </c>
      <c r="L441" s="8">
        <v>0</v>
      </c>
      <c r="M441" s="8">
        <v>0</v>
      </c>
      <c r="N441" s="8">
        <v>24032522.75</v>
      </c>
      <c r="O441" s="8">
        <v>3835562.58</v>
      </c>
      <c r="P441" s="8">
        <v>0</v>
      </c>
      <c r="Q441" s="8">
        <v>0</v>
      </c>
      <c r="R441" s="133">
        <v>2028</v>
      </c>
      <c r="S441" s="133">
        <v>2028</v>
      </c>
    </row>
    <row r="442" spans="1:19" ht="18.75" customHeight="1">
      <c r="A442" s="76">
        <v>18</v>
      </c>
      <c r="B442" s="121" t="s">
        <v>370</v>
      </c>
      <c r="C442" s="76">
        <v>1951</v>
      </c>
      <c r="D442" s="76" t="s">
        <v>75</v>
      </c>
      <c r="E442" s="95">
        <v>3</v>
      </c>
      <c r="F442" s="95">
        <v>3</v>
      </c>
      <c r="G442" s="8">
        <v>2112</v>
      </c>
      <c r="H442" s="8">
        <v>1945.5</v>
      </c>
      <c r="I442" s="8">
        <v>1747.5</v>
      </c>
      <c r="J442" s="15">
        <v>79</v>
      </c>
      <c r="K442" s="8">
        <v>2253297</v>
      </c>
      <c r="L442" s="8">
        <v>0</v>
      </c>
      <c r="M442" s="8">
        <v>0</v>
      </c>
      <c r="N442" s="8">
        <v>2253297</v>
      </c>
      <c r="O442" s="8">
        <v>0</v>
      </c>
      <c r="P442" s="8">
        <v>0</v>
      </c>
      <c r="Q442" s="8">
        <v>0</v>
      </c>
      <c r="R442" s="133">
        <v>2028</v>
      </c>
      <c r="S442" s="133">
        <v>2028</v>
      </c>
    </row>
    <row r="443" spans="1:19" ht="18.75" customHeight="1">
      <c r="A443" s="76">
        <v>19</v>
      </c>
      <c r="B443" s="121" t="s">
        <v>372</v>
      </c>
      <c r="C443" s="64">
        <v>1979</v>
      </c>
      <c r="D443" s="76" t="s">
        <v>75</v>
      </c>
      <c r="E443" s="64">
        <v>5</v>
      </c>
      <c r="F443" s="64">
        <v>4</v>
      </c>
      <c r="G443" s="8">
        <v>3127.1</v>
      </c>
      <c r="H443" s="8">
        <v>2757</v>
      </c>
      <c r="I443" s="8">
        <v>2648</v>
      </c>
      <c r="J443" s="13">
        <v>125</v>
      </c>
      <c r="K443" s="8">
        <v>2423389.86</v>
      </c>
      <c r="L443" s="8">
        <v>0</v>
      </c>
      <c r="M443" s="8">
        <v>0</v>
      </c>
      <c r="N443" s="8">
        <v>2423389.86</v>
      </c>
      <c r="O443" s="8">
        <v>0</v>
      </c>
      <c r="P443" s="8">
        <v>0</v>
      </c>
      <c r="Q443" s="8">
        <v>0</v>
      </c>
      <c r="R443" s="133">
        <v>2028</v>
      </c>
      <c r="S443" s="133">
        <v>2028</v>
      </c>
    </row>
    <row r="444" spans="1:19" ht="18.75" customHeight="1">
      <c r="A444" s="76">
        <v>20</v>
      </c>
      <c r="B444" s="121" t="s">
        <v>595</v>
      </c>
      <c r="C444" s="64">
        <v>1967</v>
      </c>
      <c r="D444" s="76" t="s">
        <v>75</v>
      </c>
      <c r="E444" s="64">
        <v>6</v>
      </c>
      <c r="F444" s="64">
        <v>5</v>
      </c>
      <c r="G444" s="8">
        <v>5871.4</v>
      </c>
      <c r="H444" s="8">
        <v>5136.3</v>
      </c>
      <c r="I444" s="8">
        <v>3519.89</v>
      </c>
      <c r="J444" s="13">
        <v>206</v>
      </c>
      <c r="K444" s="8">
        <v>2903468</v>
      </c>
      <c r="L444" s="8">
        <v>0</v>
      </c>
      <c r="M444" s="8">
        <v>0</v>
      </c>
      <c r="N444" s="8">
        <f>K444</f>
        <v>2903468</v>
      </c>
      <c r="O444" s="8">
        <v>0</v>
      </c>
      <c r="P444" s="8">
        <v>0</v>
      </c>
      <c r="Q444" s="8">
        <v>0</v>
      </c>
      <c r="R444" s="133">
        <v>2028</v>
      </c>
      <c r="S444" s="133">
        <v>2028</v>
      </c>
    </row>
    <row r="445" spans="1:19" ht="18.75" customHeight="1">
      <c r="A445" s="76">
        <v>21</v>
      </c>
      <c r="B445" s="124" t="s">
        <v>596</v>
      </c>
      <c r="C445" s="95">
        <v>1966</v>
      </c>
      <c r="D445" s="76" t="s">
        <v>77</v>
      </c>
      <c r="E445" s="95">
        <v>5</v>
      </c>
      <c r="F445" s="95">
        <v>6</v>
      </c>
      <c r="G445" s="8">
        <v>4938</v>
      </c>
      <c r="H445" s="8">
        <v>4375.2</v>
      </c>
      <c r="I445" s="8">
        <f>H445-300.7</f>
        <v>4074.5</v>
      </c>
      <c r="J445" s="58">
        <v>229</v>
      </c>
      <c r="K445" s="8">
        <v>3262147.22</v>
      </c>
      <c r="L445" s="8">
        <v>0</v>
      </c>
      <c r="M445" s="8">
        <v>0</v>
      </c>
      <c r="N445" s="8">
        <v>1967436</v>
      </c>
      <c r="O445" s="8">
        <v>1294711.22</v>
      </c>
      <c r="P445" s="8">
        <v>0</v>
      </c>
      <c r="Q445" s="8">
        <v>0</v>
      </c>
      <c r="R445" s="133">
        <v>2028</v>
      </c>
      <c r="S445" s="133">
        <v>2028</v>
      </c>
    </row>
    <row r="446" spans="1:19" ht="18.75" customHeight="1">
      <c r="A446" s="76">
        <v>22</v>
      </c>
      <c r="B446" s="124" t="s">
        <v>373</v>
      </c>
      <c r="C446" s="95">
        <v>1907</v>
      </c>
      <c r="D446" s="95" t="s">
        <v>132</v>
      </c>
      <c r="E446" s="95">
        <v>2</v>
      </c>
      <c r="F446" s="95">
        <v>1</v>
      </c>
      <c r="G446" s="8">
        <v>691.1</v>
      </c>
      <c r="H446" s="8">
        <v>660.5</v>
      </c>
      <c r="I446" s="8">
        <f>H446-19.87</f>
        <v>640.63</v>
      </c>
      <c r="J446" s="58">
        <v>32</v>
      </c>
      <c r="K446" s="8">
        <v>9834357.1300000008</v>
      </c>
      <c r="L446" s="8">
        <v>0</v>
      </c>
      <c r="M446" s="8">
        <v>0</v>
      </c>
      <c r="N446" s="8">
        <v>3712475</v>
      </c>
      <c r="O446" s="8">
        <v>6121882.1299999999</v>
      </c>
      <c r="P446" s="8">
        <v>0</v>
      </c>
      <c r="Q446" s="8">
        <v>0</v>
      </c>
      <c r="R446" s="133">
        <v>2028</v>
      </c>
      <c r="S446" s="133">
        <v>2028</v>
      </c>
    </row>
    <row r="447" spans="1:19" ht="18.75" customHeight="1">
      <c r="A447" s="76">
        <v>23</v>
      </c>
      <c r="B447" s="124" t="s">
        <v>374</v>
      </c>
      <c r="C447" s="95">
        <v>1925</v>
      </c>
      <c r="D447" s="95" t="s">
        <v>132</v>
      </c>
      <c r="E447" s="95">
        <v>2</v>
      </c>
      <c r="F447" s="95">
        <v>2</v>
      </c>
      <c r="G447" s="8">
        <v>440</v>
      </c>
      <c r="H447" s="8">
        <v>411.5</v>
      </c>
      <c r="I447" s="8">
        <f>H447-102.4</f>
        <v>309.10000000000002</v>
      </c>
      <c r="J447" s="58">
        <v>20</v>
      </c>
      <c r="K447" s="8">
        <v>438645.23</v>
      </c>
      <c r="L447" s="8">
        <v>0</v>
      </c>
      <c r="M447" s="8">
        <v>0</v>
      </c>
      <c r="N447" s="8">
        <v>264057</v>
      </c>
      <c r="O447" s="8">
        <v>174588.23</v>
      </c>
      <c r="P447" s="8">
        <v>0</v>
      </c>
      <c r="Q447" s="8">
        <v>0</v>
      </c>
      <c r="R447" s="133">
        <v>2028</v>
      </c>
      <c r="S447" s="133">
        <v>2028</v>
      </c>
    </row>
    <row r="448" spans="1:19" ht="18.75" customHeight="1">
      <c r="A448" s="76">
        <v>24</v>
      </c>
      <c r="B448" s="124" t="s">
        <v>375</v>
      </c>
      <c r="C448" s="95">
        <v>1955</v>
      </c>
      <c r="D448" s="76" t="s">
        <v>75</v>
      </c>
      <c r="E448" s="95">
        <v>2</v>
      </c>
      <c r="F448" s="95">
        <v>2</v>
      </c>
      <c r="G448" s="8">
        <v>512</v>
      </c>
      <c r="H448" s="8">
        <v>468.9</v>
      </c>
      <c r="I448" s="8">
        <v>413.7</v>
      </c>
      <c r="J448" s="58">
        <v>29</v>
      </c>
      <c r="K448" s="8">
        <v>1154632.0900000001</v>
      </c>
      <c r="L448" s="8">
        <v>0</v>
      </c>
      <c r="M448" s="8">
        <v>0</v>
      </c>
      <c r="N448" s="8">
        <v>649615</v>
      </c>
      <c r="O448" s="8">
        <v>505017.09</v>
      </c>
      <c r="P448" s="8">
        <v>0</v>
      </c>
      <c r="Q448" s="8">
        <v>0</v>
      </c>
      <c r="R448" s="133">
        <v>2028</v>
      </c>
      <c r="S448" s="133">
        <v>2028</v>
      </c>
    </row>
    <row r="449" spans="1:19" ht="18.75" customHeight="1">
      <c r="A449" s="76">
        <v>25</v>
      </c>
      <c r="B449" s="124" t="s">
        <v>597</v>
      </c>
      <c r="C449" s="95">
        <v>1991</v>
      </c>
      <c r="D449" s="76" t="s">
        <v>77</v>
      </c>
      <c r="E449" s="95">
        <v>10</v>
      </c>
      <c r="F449" s="95">
        <v>2</v>
      </c>
      <c r="G449" s="8">
        <v>5754.7</v>
      </c>
      <c r="H449" s="8">
        <v>4999.1000000000004</v>
      </c>
      <c r="I449" s="8">
        <f>H449-126.5-492.5</f>
        <v>4380.1000000000004</v>
      </c>
      <c r="J449" s="58">
        <v>198</v>
      </c>
      <c r="K449" s="8">
        <v>26223875.760000002</v>
      </c>
      <c r="L449" s="8">
        <v>0</v>
      </c>
      <c r="M449" s="8">
        <v>0</v>
      </c>
      <c r="N449" s="8">
        <f t="shared" ref="N449" si="120">K449</f>
        <v>26223875.760000002</v>
      </c>
      <c r="O449" s="8">
        <v>0</v>
      </c>
      <c r="P449" s="8">
        <v>0</v>
      </c>
      <c r="Q449" s="8">
        <v>0</v>
      </c>
      <c r="R449" s="133">
        <v>2028</v>
      </c>
      <c r="S449" s="133">
        <v>2028</v>
      </c>
    </row>
    <row r="450" spans="1:19" ht="18.75" customHeight="1">
      <c r="A450" s="76">
        <v>26</v>
      </c>
      <c r="B450" s="124" t="s">
        <v>376</v>
      </c>
      <c r="C450" s="95" t="s">
        <v>163</v>
      </c>
      <c r="D450" s="76" t="s">
        <v>75</v>
      </c>
      <c r="E450" s="95">
        <v>3</v>
      </c>
      <c r="F450" s="95">
        <v>2</v>
      </c>
      <c r="G450" s="8">
        <v>781.9</v>
      </c>
      <c r="H450" s="8">
        <v>709.4</v>
      </c>
      <c r="I450" s="8">
        <v>323.10000000000002</v>
      </c>
      <c r="J450" s="58">
        <v>42</v>
      </c>
      <c r="K450" s="8">
        <v>5769399.9299999997</v>
      </c>
      <c r="L450" s="8">
        <v>0</v>
      </c>
      <c r="M450" s="8">
        <v>0</v>
      </c>
      <c r="N450" s="8">
        <v>4041309</v>
      </c>
      <c r="O450" s="8">
        <v>1728090.93</v>
      </c>
      <c r="P450" s="8">
        <v>0</v>
      </c>
      <c r="Q450" s="8">
        <v>0</v>
      </c>
      <c r="R450" s="133">
        <v>2028</v>
      </c>
      <c r="S450" s="133">
        <v>2028</v>
      </c>
    </row>
    <row r="451" spans="1:19" ht="18.75" customHeight="1">
      <c r="A451" s="76">
        <v>27</v>
      </c>
      <c r="B451" s="124" t="s">
        <v>377</v>
      </c>
      <c r="C451" s="95">
        <v>1960</v>
      </c>
      <c r="D451" s="95" t="s">
        <v>118</v>
      </c>
      <c r="E451" s="95">
        <v>3</v>
      </c>
      <c r="F451" s="95">
        <v>2</v>
      </c>
      <c r="G451" s="8">
        <v>832.1</v>
      </c>
      <c r="H451" s="8">
        <v>754.9</v>
      </c>
      <c r="I451" s="8">
        <v>754.9</v>
      </c>
      <c r="J451" s="58">
        <v>33</v>
      </c>
      <c r="K451" s="8">
        <v>3547908.87</v>
      </c>
      <c r="L451" s="8">
        <v>0</v>
      </c>
      <c r="M451" s="8">
        <v>0</v>
      </c>
      <c r="N451" s="8">
        <v>1083893</v>
      </c>
      <c r="O451" s="8">
        <v>2464015.87</v>
      </c>
      <c r="P451" s="8">
        <v>0</v>
      </c>
      <c r="Q451" s="8">
        <v>0</v>
      </c>
      <c r="R451" s="133">
        <v>2028</v>
      </c>
      <c r="S451" s="133">
        <v>2028</v>
      </c>
    </row>
    <row r="452" spans="1:19" ht="18.75" customHeight="1">
      <c r="A452" s="76">
        <v>28</v>
      </c>
      <c r="B452" s="124" t="s">
        <v>378</v>
      </c>
      <c r="C452" s="95">
        <v>1959</v>
      </c>
      <c r="D452" s="76" t="s">
        <v>75</v>
      </c>
      <c r="E452" s="95">
        <v>4</v>
      </c>
      <c r="F452" s="95">
        <v>2</v>
      </c>
      <c r="G452" s="8">
        <v>1402.5</v>
      </c>
      <c r="H452" s="8">
        <v>1322.7</v>
      </c>
      <c r="I452" s="8">
        <f>H452-63.3-259.4</f>
        <v>1000.0000000000001</v>
      </c>
      <c r="J452" s="58">
        <v>47</v>
      </c>
      <c r="K452" s="8">
        <v>4930704.99</v>
      </c>
      <c r="L452" s="8">
        <v>0</v>
      </c>
      <c r="M452" s="8">
        <v>0</v>
      </c>
      <c r="N452" s="8">
        <v>3522195.05</v>
      </c>
      <c r="O452" s="8">
        <v>1408509.94</v>
      </c>
      <c r="P452" s="8">
        <v>0</v>
      </c>
      <c r="Q452" s="8">
        <v>0</v>
      </c>
      <c r="R452" s="133">
        <v>2028</v>
      </c>
      <c r="S452" s="133">
        <v>2028</v>
      </c>
    </row>
    <row r="453" spans="1:19" ht="18.75" customHeight="1">
      <c r="A453" s="76">
        <v>29</v>
      </c>
      <c r="B453" s="124" t="s">
        <v>600</v>
      </c>
      <c r="C453" s="76">
        <v>1983</v>
      </c>
      <c r="D453" s="76" t="s">
        <v>77</v>
      </c>
      <c r="E453" s="95">
        <v>9</v>
      </c>
      <c r="F453" s="95">
        <v>9</v>
      </c>
      <c r="G453" s="8">
        <v>20254.5</v>
      </c>
      <c r="H453" s="8">
        <v>17871.5</v>
      </c>
      <c r="I453" s="8">
        <f>H453-933.3</f>
        <v>16938.2</v>
      </c>
      <c r="J453" s="16">
        <v>764</v>
      </c>
      <c r="K453" s="8">
        <v>2540822</v>
      </c>
      <c r="L453" s="8">
        <v>0</v>
      </c>
      <c r="M453" s="8">
        <v>0</v>
      </c>
      <c r="N453" s="8">
        <v>2540822</v>
      </c>
      <c r="O453" s="8">
        <v>0</v>
      </c>
      <c r="P453" s="8">
        <v>0</v>
      </c>
      <c r="Q453" s="8">
        <v>0</v>
      </c>
      <c r="R453" s="133">
        <v>2028</v>
      </c>
      <c r="S453" s="133">
        <v>2028</v>
      </c>
    </row>
    <row r="454" spans="1:19" ht="18.75" customHeight="1">
      <c r="A454" s="76">
        <v>30</v>
      </c>
      <c r="B454" s="124" t="s">
        <v>380</v>
      </c>
      <c r="C454" s="76">
        <v>1983</v>
      </c>
      <c r="D454" s="76" t="s">
        <v>77</v>
      </c>
      <c r="E454" s="95">
        <v>9</v>
      </c>
      <c r="F454" s="95">
        <v>3</v>
      </c>
      <c r="G454" s="8">
        <v>8203.6</v>
      </c>
      <c r="H454" s="8">
        <v>5766.8</v>
      </c>
      <c r="I454" s="8">
        <f>H454-338.5</f>
        <v>5428.3</v>
      </c>
      <c r="J454" s="16">
        <v>251</v>
      </c>
      <c r="K454" s="8">
        <v>2518802</v>
      </c>
      <c r="L454" s="8">
        <v>0</v>
      </c>
      <c r="M454" s="8">
        <v>0</v>
      </c>
      <c r="N454" s="8">
        <v>2518802</v>
      </c>
      <c r="O454" s="8">
        <v>0</v>
      </c>
      <c r="P454" s="8">
        <v>0</v>
      </c>
      <c r="Q454" s="8">
        <v>0</v>
      </c>
      <c r="R454" s="133">
        <v>2028</v>
      </c>
      <c r="S454" s="133">
        <v>2028</v>
      </c>
    </row>
    <row r="455" spans="1:19" ht="18.75" customHeight="1">
      <c r="A455" s="76">
        <v>31</v>
      </c>
      <c r="B455" s="124" t="s">
        <v>381</v>
      </c>
      <c r="C455" s="76">
        <v>1917</v>
      </c>
      <c r="D455" s="76" t="s">
        <v>75</v>
      </c>
      <c r="E455" s="95">
        <v>3</v>
      </c>
      <c r="F455" s="95">
        <v>1</v>
      </c>
      <c r="G455" s="8">
        <v>460.1</v>
      </c>
      <c r="H455" s="8">
        <v>420.1</v>
      </c>
      <c r="I455" s="8">
        <v>420.1</v>
      </c>
      <c r="J455" s="16">
        <v>11</v>
      </c>
      <c r="K455" s="8">
        <v>2875428.66</v>
      </c>
      <c r="L455" s="8">
        <v>0</v>
      </c>
      <c r="M455" s="8">
        <v>0</v>
      </c>
      <c r="N455" s="8">
        <v>1685452.23</v>
      </c>
      <c r="O455" s="8">
        <v>1189976.43</v>
      </c>
      <c r="P455" s="8">
        <v>0</v>
      </c>
      <c r="Q455" s="8">
        <v>0</v>
      </c>
      <c r="R455" s="133">
        <v>2028</v>
      </c>
      <c r="S455" s="133">
        <v>2028</v>
      </c>
    </row>
    <row r="456" spans="1:19" ht="18.75" customHeight="1">
      <c r="A456" s="76">
        <v>32</v>
      </c>
      <c r="B456" s="124" t="s">
        <v>382</v>
      </c>
      <c r="C456" s="76">
        <v>1917</v>
      </c>
      <c r="D456" s="76" t="s">
        <v>75</v>
      </c>
      <c r="E456" s="95">
        <v>3</v>
      </c>
      <c r="F456" s="95">
        <v>2</v>
      </c>
      <c r="G456" s="8">
        <v>483.6</v>
      </c>
      <c r="H456" s="8">
        <v>410</v>
      </c>
      <c r="I456" s="8">
        <f>H456</f>
        <v>410</v>
      </c>
      <c r="J456" s="16">
        <v>15</v>
      </c>
      <c r="K456" s="8">
        <v>11152356.57</v>
      </c>
      <c r="L456" s="8">
        <v>0</v>
      </c>
      <c r="M456" s="8">
        <v>0</v>
      </c>
      <c r="N456" s="8">
        <v>2676796.31</v>
      </c>
      <c r="O456" s="8">
        <v>8475560.2599999998</v>
      </c>
      <c r="P456" s="8">
        <v>0</v>
      </c>
      <c r="Q456" s="8">
        <v>0</v>
      </c>
      <c r="R456" s="133">
        <v>2028</v>
      </c>
      <c r="S456" s="133">
        <v>2028</v>
      </c>
    </row>
    <row r="457" spans="1:19" ht="18.75" customHeight="1">
      <c r="A457" s="76">
        <v>33</v>
      </c>
      <c r="B457" s="124" t="s">
        <v>383</v>
      </c>
      <c r="C457" s="76">
        <v>1967</v>
      </c>
      <c r="D457" s="76" t="s">
        <v>77</v>
      </c>
      <c r="E457" s="95">
        <v>5</v>
      </c>
      <c r="F457" s="95">
        <v>3</v>
      </c>
      <c r="G457" s="8">
        <v>2789.8</v>
      </c>
      <c r="H457" s="8">
        <v>2568.3000000000002</v>
      </c>
      <c r="I457" s="8">
        <f>H457-186.2</f>
        <v>2382.1000000000004</v>
      </c>
      <c r="J457" s="16">
        <v>73</v>
      </c>
      <c r="K457" s="8">
        <v>1896351.66</v>
      </c>
      <c r="L457" s="8">
        <v>0</v>
      </c>
      <c r="M457" s="8">
        <v>0</v>
      </c>
      <c r="N457" s="8">
        <v>899225</v>
      </c>
      <c r="O457" s="8">
        <v>997126.66</v>
      </c>
      <c r="P457" s="8">
        <v>0</v>
      </c>
      <c r="Q457" s="8">
        <v>0</v>
      </c>
      <c r="R457" s="133">
        <v>2028</v>
      </c>
      <c r="S457" s="133">
        <v>2028</v>
      </c>
    </row>
    <row r="458" spans="1:19" ht="18.75" customHeight="1">
      <c r="A458" s="76">
        <v>34</v>
      </c>
      <c r="B458" s="124" t="s">
        <v>384</v>
      </c>
      <c r="C458" s="76">
        <v>1992</v>
      </c>
      <c r="D458" s="76" t="s">
        <v>77</v>
      </c>
      <c r="E458" s="95">
        <v>10</v>
      </c>
      <c r="F458" s="95">
        <v>4</v>
      </c>
      <c r="G458" s="8">
        <v>10086.799999999999</v>
      </c>
      <c r="H458" s="8">
        <v>9077.1</v>
      </c>
      <c r="I458" s="8">
        <f>H458-229.9</f>
        <v>8847.2000000000007</v>
      </c>
      <c r="J458" s="16">
        <v>378</v>
      </c>
      <c r="K458" s="8">
        <v>9016794.3300000001</v>
      </c>
      <c r="L458" s="8">
        <v>0</v>
      </c>
      <c r="M458" s="8">
        <v>0</v>
      </c>
      <c r="N458" s="8">
        <v>8338382</v>
      </c>
      <c r="O458" s="8">
        <v>678412.33</v>
      </c>
      <c r="P458" s="8">
        <v>0</v>
      </c>
      <c r="Q458" s="8">
        <v>0</v>
      </c>
      <c r="R458" s="133">
        <v>2028</v>
      </c>
      <c r="S458" s="133">
        <v>2028</v>
      </c>
    </row>
    <row r="459" spans="1:19" ht="18.75" customHeight="1">
      <c r="A459" s="76">
        <v>35</v>
      </c>
      <c r="B459" s="124" t="s">
        <v>598</v>
      </c>
      <c r="C459" s="76">
        <v>1965</v>
      </c>
      <c r="D459" s="76" t="s">
        <v>75</v>
      </c>
      <c r="E459" s="95">
        <v>5</v>
      </c>
      <c r="F459" s="95">
        <v>4</v>
      </c>
      <c r="G459" s="8">
        <v>8345.6</v>
      </c>
      <c r="H459" s="8">
        <v>7804.2000000000007</v>
      </c>
      <c r="I459" s="8">
        <v>5275.2000000000007</v>
      </c>
      <c r="J459" s="58">
        <v>264</v>
      </c>
      <c r="K459" s="8">
        <v>24192921.879999999</v>
      </c>
      <c r="L459" s="8">
        <v>0</v>
      </c>
      <c r="M459" s="8">
        <v>0</v>
      </c>
      <c r="N459" s="8">
        <v>17815787.469999999</v>
      </c>
      <c r="O459" s="8">
        <v>6377134.4100000001</v>
      </c>
      <c r="P459" s="8">
        <v>0</v>
      </c>
      <c r="Q459" s="8">
        <v>0</v>
      </c>
      <c r="R459" s="133">
        <v>2028</v>
      </c>
      <c r="S459" s="133">
        <v>2028</v>
      </c>
    </row>
    <row r="460" spans="1:19" ht="18.75" customHeight="1">
      <c r="A460" s="76">
        <v>36</v>
      </c>
      <c r="B460" s="124" t="s">
        <v>599</v>
      </c>
      <c r="C460" s="76">
        <v>1958</v>
      </c>
      <c r="D460" s="76" t="s">
        <v>75</v>
      </c>
      <c r="E460" s="95">
        <v>4</v>
      </c>
      <c r="F460" s="95">
        <v>5</v>
      </c>
      <c r="G460" s="8">
        <v>5887.4</v>
      </c>
      <c r="H460" s="8">
        <v>5353.2</v>
      </c>
      <c r="I460" s="8">
        <v>5124.5</v>
      </c>
      <c r="J460" s="58">
        <v>117</v>
      </c>
      <c r="K460" s="8">
        <v>12717935</v>
      </c>
      <c r="L460" s="8">
        <v>0</v>
      </c>
      <c r="M460" s="8">
        <v>0</v>
      </c>
      <c r="N460" s="8">
        <v>7376201.0800000001</v>
      </c>
      <c r="O460" s="8">
        <v>5341733.92</v>
      </c>
      <c r="P460" s="8">
        <v>0</v>
      </c>
      <c r="Q460" s="8">
        <v>0</v>
      </c>
      <c r="R460" s="133">
        <v>2028</v>
      </c>
      <c r="S460" s="133">
        <v>2028</v>
      </c>
    </row>
    <row r="461" spans="1:19" ht="18.75" customHeight="1">
      <c r="A461" s="76">
        <v>37</v>
      </c>
      <c r="B461" s="124" t="s">
        <v>601</v>
      </c>
      <c r="C461" s="76">
        <v>1985</v>
      </c>
      <c r="D461" s="76" t="s">
        <v>77</v>
      </c>
      <c r="E461" s="95">
        <v>9</v>
      </c>
      <c r="F461" s="95">
        <v>6</v>
      </c>
      <c r="G461" s="8">
        <v>17027.8</v>
      </c>
      <c r="H461" s="8">
        <v>11641.95</v>
      </c>
      <c r="I461" s="8">
        <f>H461-817</f>
        <v>10824.95</v>
      </c>
      <c r="J461" s="16">
        <v>443</v>
      </c>
      <c r="K461" s="8">
        <v>5336490</v>
      </c>
      <c r="L461" s="8">
        <v>0</v>
      </c>
      <c r="M461" s="8">
        <v>0</v>
      </c>
      <c r="N461" s="8">
        <v>5336490</v>
      </c>
      <c r="O461" s="8">
        <v>0</v>
      </c>
      <c r="P461" s="8">
        <v>0</v>
      </c>
      <c r="Q461" s="8">
        <v>0</v>
      </c>
      <c r="R461" s="133">
        <v>2028</v>
      </c>
      <c r="S461" s="133">
        <v>2028</v>
      </c>
    </row>
    <row r="462" spans="1:19" ht="18.75" customHeight="1">
      <c r="A462" s="76">
        <v>38</v>
      </c>
      <c r="B462" s="124" t="s">
        <v>602</v>
      </c>
      <c r="C462" s="76">
        <v>1956</v>
      </c>
      <c r="D462" s="76" t="s">
        <v>75</v>
      </c>
      <c r="E462" s="95">
        <v>5</v>
      </c>
      <c r="F462" s="95">
        <v>8</v>
      </c>
      <c r="G462" s="8">
        <v>8242.25</v>
      </c>
      <c r="H462" s="8">
        <v>7440.45</v>
      </c>
      <c r="I462" s="8">
        <f>H462</f>
        <v>7440.45</v>
      </c>
      <c r="J462" s="16">
        <v>249</v>
      </c>
      <c r="K462" s="8">
        <v>20545653.079999998</v>
      </c>
      <c r="L462" s="8">
        <v>0</v>
      </c>
      <c r="M462" s="8">
        <v>0</v>
      </c>
      <c r="N462" s="8">
        <v>8790475.0800000001</v>
      </c>
      <c r="O462" s="8">
        <v>11755178</v>
      </c>
      <c r="P462" s="8">
        <v>0</v>
      </c>
      <c r="Q462" s="8">
        <v>0</v>
      </c>
      <c r="R462" s="133">
        <v>2028</v>
      </c>
      <c r="S462" s="133">
        <v>2028</v>
      </c>
    </row>
    <row r="463" spans="1:19" ht="18.75" customHeight="1">
      <c r="A463" s="76">
        <v>39</v>
      </c>
      <c r="B463" s="124" t="s">
        <v>603</v>
      </c>
      <c r="C463" s="76">
        <v>1936</v>
      </c>
      <c r="D463" s="76" t="s">
        <v>75</v>
      </c>
      <c r="E463" s="95">
        <v>5</v>
      </c>
      <c r="F463" s="95">
        <v>4</v>
      </c>
      <c r="G463" s="8">
        <v>7195.3</v>
      </c>
      <c r="H463" s="8">
        <v>6273.7</v>
      </c>
      <c r="I463" s="8">
        <f>H463-1979.8-20.8</f>
        <v>4273.0999999999995</v>
      </c>
      <c r="J463" s="16">
        <v>211</v>
      </c>
      <c r="K463" s="8">
        <v>92071382.489999995</v>
      </c>
      <c r="L463" s="8">
        <v>0</v>
      </c>
      <c r="M463" s="8">
        <v>0</v>
      </c>
      <c r="N463" s="8">
        <v>36550059.100000001</v>
      </c>
      <c r="O463" s="8">
        <v>55521323.390000001</v>
      </c>
      <c r="P463" s="8">
        <v>0</v>
      </c>
      <c r="Q463" s="8">
        <v>0</v>
      </c>
      <c r="R463" s="133">
        <v>2028</v>
      </c>
      <c r="S463" s="133">
        <v>2028</v>
      </c>
    </row>
    <row r="464" spans="1:19" ht="18.75" customHeight="1">
      <c r="A464" s="76">
        <v>40</v>
      </c>
      <c r="B464" s="124" t="s">
        <v>752</v>
      </c>
      <c r="C464" s="76">
        <v>1937</v>
      </c>
      <c r="D464" s="76" t="s">
        <v>75</v>
      </c>
      <c r="E464" s="95">
        <v>4</v>
      </c>
      <c r="F464" s="95">
        <v>4</v>
      </c>
      <c r="G464" s="8">
        <v>2732.9</v>
      </c>
      <c r="H464" s="8">
        <v>2413.1999999999998</v>
      </c>
      <c r="I464" s="8">
        <f>H464-178.8</f>
        <v>2234.3999999999996</v>
      </c>
      <c r="J464" s="16">
        <v>117</v>
      </c>
      <c r="K464" s="8">
        <v>5918732.8500000006</v>
      </c>
      <c r="L464" s="8">
        <v>0</v>
      </c>
      <c r="M464" s="8">
        <v>0</v>
      </c>
      <c r="N464" s="8">
        <v>3470236</v>
      </c>
      <c r="O464" s="8">
        <v>2448496.85</v>
      </c>
      <c r="P464" s="8">
        <v>0</v>
      </c>
      <c r="Q464" s="8">
        <v>0</v>
      </c>
      <c r="R464" s="133">
        <v>2028</v>
      </c>
      <c r="S464" s="133">
        <v>2028</v>
      </c>
    </row>
    <row r="465" spans="1:19" ht="18.75" customHeight="1">
      <c r="A465" s="76">
        <v>41</v>
      </c>
      <c r="B465" s="124" t="s">
        <v>385</v>
      </c>
      <c r="C465" s="76">
        <v>1959</v>
      </c>
      <c r="D465" s="76" t="s">
        <v>75</v>
      </c>
      <c r="E465" s="95">
        <v>4</v>
      </c>
      <c r="F465" s="95">
        <v>4</v>
      </c>
      <c r="G465" s="8">
        <v>2729</v>
      </c>
      <c r="H465" s="8">
        <v>2536.3000000000002</v>
      </c>
      <c r="I465" s="8">
        <f>H465-32.2</f>
        <v>2504.1000000000004</v>
      </c>
      <c r="J465" s="16">
        <v>190</v>
      </c>
      <c r="K465" s="8">
        <v>6193650.6599999992</v>
      </c>
      <c r="L465" s="8">
        <v>0</v>
      </c>
      <c r="M465" s="8">
        <v>0</v>
      </c>
      <c r="N465" s="8">
        <v>3275213</v>
      </c>
      <c r="O465" s="8">
        <v>2918437.66</v>
      </c>
      <c r="P465" s="8">
        <v>0</v>
      </c>
      <c r="Q465" s="8">
        <v>0</v>
      </c>
      <c r="R465" s="133">
        <v>2028</v>
      </c>
      <c r="S465" s="133">
        <v>2028</v>
      </c>
    </row>
    <row r="466" spans="1:19" ht="18.75" customHeight="1">
      <c r="A466" s="76">
        <v>42</v>
      </c>
      <c r="B466" s="124" t="s">
        <v>386</v>
      </c>
      <c r="C466" s="76">
        <v>1957</v>
      </c>
      <c r="D466" s="76" t="s">
        <v>75</v>
      </c>
      <c r="E466" s="95">
        <v>4</v>
      </c>
      <c r="F466" s="95">
        <v>3</v>
      </c>
      <c r="G466" s="8">
        <v>3313.9</v>
      </c>
      <c r="H466" s="8">
        <v>2501.3000000000002</v>
      </c>
      <c r="I466" s="8">
        <f>H466-58.9</f>
        <v>2442.4</v>
      </c>
      <c r="J466" s="16">
        <v>103</v>
      </c>
      <c r="K466" s="8">
        <v>2749421.9599999995</v>
      </c>
      <c r="L466" s="8">
        <v>0</v>
      </c>
      <c r="M466" s="8">
        <v>0</v>
      </c>
      <c r="N466" s="8">
        <v>1502478</v>
      </c>
      <c r="O466" s="8">
        <v>1246943.96</v>
      </c>
      <c r="P466" s="8">
        <v>0</v>
      </c>
      <c r="Q466" s="8">
        <v>0</v>
      </c>
      <c r="R466" s="133">
        <v>2028</v>
      </c>
      <c r="S466" s="133">
        <v>2028</v>
      </c>
    </row>
    <row r="467" spans="1:19" ht="18.75" customHeight="1">
      <c r="A467" s="76">
        <v>43</v>
      </c>
      <c r="B467" s="124" t="s">
        <v>387</v>
      </c>
      <c r="C467" s="76">
        <v>1951</v>
      </c>
      <c r="D467" s="76" t="s">
        <v>118</v>
      </c>
      <c r="E467" s="95">
        <v>2</v>
      </c>
      <c r="F467" s="95">
        <v>1</v>
      </c>
      <c r="G467" s="8">
        <v>559.9</v>
      </c>
      <c r="H467" s="8">
        <v>515.29999999999995</v>
      </c>
      <c r="I467" s="8">
        <v>515.29999999999995</v>
      </c>
      <c r="J467" s="16">
        <v>24</v>
      </c>
      <c r="K467" s="8">
        <v>589685.92999999993</v>
      </c>
      <c r="L467" s="8">
        <v>0</v>
      </c>
      <c r="M467" s="8">
        <v>0</v>
      </c>
      <c r="N467" s="8">
        <v>589685.92999999993</v>
      </c>
      <c r="O467" s="8">
        <v>0</v>
      </c>
      <c r="P467" s="8">
        <v>0</v>
      </c>
      <c r="Q467" s="8">
        <v>0</v>
      </c>
      <c r="R467" s="133">
        <v>2028</v>
      </c>
      <c r="S467" s="133">
        <v>2028</v>
      </c>
    </row>
    <row r="468" spans="1:19" ht="18.75" customHeight="1">
      <c r="A468" s="76">
        <v>44</v>
      </c>
      <c r="B468" s="121" t="s">
        <v>379</v>
      </c>
      <c r="C468" s="76">
        <v>1950</v>
      </c>
      <c r="D468" s="95" t="s">
        <v>118</v>
      </c>
      <c r="E468" s="95">
        <v>2</v>
      </c>
      <c r="F468" s="95">
        <v>3</v>
      </c>
      <c r="G468" s="8">
        <v>1395.9</v>
      </c>
      <c r="H468" s="8">
        <v>1264.5999999999999</v>
      </c>
      <c r="I468" s="8">
        <v>913.3</v>
      </c>
      <c r="J468" s="16">
        <v>49</v>
      </c>
      <c r="K468" s="8">
        <v>9438954.3200000003</v>
      </c>
      <c r="L468" s="8">
        <v>0</v>
      </c>
      <c r="M468" s="8">
        <v>0</v>
      </c>
      <c r="N468" s="8">
        <v>5475647.2699999996</v>
      </c>
      <c r="O468" s="8">
        <v>3963307.05</v>
      </c>
      <c r="P468" s="8">
        <v>0</v>
      </c>
      <c r="Q468" s="8">
        <v>0</v>
      </c>
      <c r="R468" s="133">
        <v>2028</v>
      </c>
      <c r="S468" s="133">
        <v>2028</v>
      </c>
    </row>
    <row r="469" spans="1:19" ht="18.75" customHeight="1">
      <c r="A469" s="76">
        <v>45</v>
      </c>
      <c r="B469" s="124" t="s">
        <v>388</v>
      </c>
      <c r="C469" s="76">
        <v>1895</v>
      </c>
      <c r="D469" s="76" t="s">
        <v>75</v>
      </c>
      <c r="E469" s="95">
        <v>2</v>
      </c>
      <c r="F469" s="95">
        <v>1</v>
      </c>
      <c r="G469" s="8">
        <v>497.1</v>
      </c>
      <c r="H469" s="8">
        <v>363.5</v>
      </c>
      <c r="I469" s="8">
        <f>H469</f>
        <v>363.5</v>
      </c>
      <c r="J469" s="16">
        <v>12</v>
      </c>
      <c r="K469" s="8">
        <v>193341</v>
      </c>
      <c r="L469" s="8">
        <v>0</v>
      </c>
      <c r="M469" s="8">
        <v>0</v>
      </c>
      <c r="N469" s="8">
        <f>K469</f>
        <v>193341</v>
      </c>
      <c r="O469" s="8">
        <v>0</v>
      </c>
      <c r="P469" s="8">
        <v>0</v>
      </c>
      <c r="Q469" s="8">
        <v>0</v>
      </c>
      <c r="R469" s="133">
        <v>2028</v>
      </c>
      <c r="S469" s="133">
        <v>2028</v>
      </c>
    </row>
    <row r="470" spans="1:19" ht="18.75" customHeight="1">
      <c r="A470" s="76">
        <v>46</v>
      </c>
      <c r="B470" s="124" t="s">
        <v>389</v>
      </c>
      <c r="C470" s="76">
        <v>1972</v>
      </c>
      <c r="D470" s="76" t="s">
        <v>75</v>
      </c>
      <c r="E470" s="95">
        <v>5</v>
      </c>
      <c r="F470" s="95">
        <v>2</v>
      </c>
      <c r="G470" s="8">
        <v>3773.99</v>
      </c>
      <c r="H470" s="8">
        <v>3489.29</v>
      </c>
      <c r="I470" s="8">
        <f>H470-639.8</f>
        <v>2849.49</v>
      </c>
      <c r="J470" s="16">
        <v>191</v>
      </c>
      <c r="K470" s="8">
        <v>3835417.8</v>
      </c>
      <c r="L470" s="8">
        <v>0</v>
      </c>
      <c r="M470" s="8">
        <v>0</v>
      </c>
      <c r="N470" s="8">
        <v>2610618</v>
      </c>
      <c r="O470" s="8">
        <v>1224799.8</v>
      </c>
      <c r="P470" s="8">
        <v>0</v>
      </c>
      <c r="Q470" s="8">
        <v>0</v>
      </c>
      <c r="R470" s="133">
        <v>2028</v>
      </c>
      <c r="S470" s="133">
        <v>2028</v>
      </c>
    </row>
    <row r="471" spans="1:19" ht="18.75" customHeight="1">
      <c r="A471" s="76">
        <v>47</v>
      </c>
      <c r="B471" s="124" t="s">
        <v>390</v>
      </c>
      <c r="C471" s="76">
        <v>1956</v>
      </c>
      <c r="D471" s="76" t="s">
        <v>75</v>
      </c>
      <c r="E471" s="95">
        <v>2</v>
      </c>
      <c r="F471" s="95">
        <v>3</v>
      </c>
      <c r="G471" s="8">
        <v>1305.5999999999999</v>
      </c>
      <c r="H471" s="8">
        <v>1143.5999999999999</v>
      </c>
      <c r="I471" s="8">
        <f>H471-57.9-60.1</f>
        <v>1025.5999999999999</v>
      </c>
      <c r="J471" s="16">
        <v>22</v>
      </c>
      <c r="K471" s="8">
        <v>17209474.98</v>
      </c>
      <c r="L471" s="8">
        <v>0</v>
      </c>
      <c r="M471" s="8">
        <v>0</v>
      </c>
      <c r="N471" s="8">
        <v>1300391</v>
      </c>
      <c r="O471" s="8">
        <v>15909083.98</v>
      </c>
      <c r="P471" s="8">
        <v>0</v>
      </c>
      <c r="Q471" s="8">
        <v>0</v>
      </c>
      <c r="R471" s="133">
        <v>2028</v>
      </c>
      <c r="S471" s="133">
        <v>2028</v>
      </c>
    </row>
    <row r="472" spans="1:19" ht="18.75" customHeight="1">
      <c r="A472" s="76">
        <v>48</v>
      </c>
      <c r="B472" s="124" t="s">
        <v>391</v>
      </c>
      <c r="C472" s="76">
        <v>1917</v>
      </c>
      <c r="D472" s="76" t="s">
        <v>75</v>
      </c>
      <c r="E472" s="65" t="s">
        <v>356</v>
      </c>
      <c r="F472" s="95">
        <v>4</v>
      </c>
      <c r="G472" s="8">
        <v>2304.3000000000002</v>
      </c>
      <c r="H472" s="8">
        <v>2167.6999999999998</v>
      </c>
      <c r="I472" s="8">
        <f>H472-390.4</f>
        <v>1777.2999999999997</v>
      </c>
      <c r="J472" s="16">
        <v>61</v>
      </c>
      <c r="K472" s="8">
        <v>579845</v>
      </c>
      <c r="L472" s="8">
        <v>0</v>
      </c>
      <c r="M472" s="8">
        <v>0</v>
      </c>
      <c r="N472" s="8">
        <f>K472</f>
        <v>579845</v>
      </c>
      <c r="O472" s="8">
        <v>0</v>
      </c>
      <c r="P472" s="8">
        <v>0</v>
      </c>
      <c r="Q472" s="8">
        <v>0</v>
      </c>
      <c r="R472" s="133">
        <v>2028</v>
      </c>
      <c r="S472" s="133">
        <v>2028</v>
      </c>
    </row>
    <row r="473" spans="1:19" ht="18.75" customHeight="1">
      <c r="A473" s="76">
        <v>49</v>
      </c>
      <c r="B473" s="124" t="s">
        <v>392</v>
      </c>
      <c r="C473" s="76">
        <v>1953</v>
      </c>
      <c r="D473" s="76" t="s">
        <v>75</v>
      </c>
      <c r="E473" s="95">
        <v>4</v>
      </c>
      <c r="F473" s="95">
        <v>9</v>
      </c>
      <c r="G473" s="8">
        <v>7344.1</v>
      </c>
      <c r="H473" s="8">
        <v>6786.8</v>
      </c>
      <c r="I473" s="8">
        <f>H473-842.1-1022.6</f>
        <v>4922.0999999999995</v>
      </c>
      <c r="J473" s="16">
        <v>141</v>
      </c>
      <c r="K473" s="8">
        <v>16234608.260000002</v>
      </c>
      <c r="L473" s="8">
        <v>0</v>
      </c>
      <c r="M473" s="8">
        <v>0</v>
      </c>
      <c r="N473" s="8">
        <v>4100705</v>
      </c>
      <c r="O473" s="8">
        <v>12133903.26</v>
      </c>
      <c r="P473" s="8">
        <v>0</v>
      </c>
      <c r="Q473" s="8">
        <v>0</v>
      </c>
      <c r="R473" s="133">
        <v>2028</v>
      </c>
      <c r="S473" s="133">
        <v>2028</v>
      </c>
    </row>
    <row r="474" spans="1:19" ht="18.75" customHeight="1">
      <c r="A474" s="76">
        <v>50</v>
      </c>
      <c r="B474" s="124" t="s">
        <v>393</v>
      </c>
      <c r="C474" s="76">
        <v>1953</v>
      </c>
      <c r="D474" s="76" t="s">
        <v>75</v>
      </c>
      <c r="E474" s="95">
        <v>2</v>
      </c>
      <c r="F474" s="95">
        <v>2</v>
      </c>
      <c r="G474" s="8">
        <v>411.7</v>
      </c>
      <c r="H474" s="8">
        <v>368.5</v>
      </c>
      <c r="I474" s="8">
        <f>H474-21.51</f>
        <v>346.99</v>
      </c>
      <c r="J474" s="16">
        <v>24</v>
      </c>
      <c r="K474" s="8">
        <v>2001522.6700000002</v>
      </c>
      <c r="L474" s="8">
        <v>0</v>
      </c>
      <c r="M474" s="8">
        <v>0</v>
      </c>
      <c r="N474" s="8">
        <v>720823</v>
      </c>
      <c r="O474" s="8">
        <v>1280699.67</v>
      </c>
      <c r="P474" s="8">
        <v>0</v>
      </c>
      <c r="Q474" s="8">
        <v>0</v>
      </c>
      <c r="R474" s="133">
        <v>2028</v>
      </c>
      <c r="S474" s="133">
        <v>2028</v>
      </c>
    </row>
    <row r="475" spans="1:19" ht="18.75" customHeight="1">
      <c r="A475" s="76">
        <v>51</v>
      </c>
      <c r="B475" s="124" t="s">
        <v>394</v>
      </c>
      <c r="C475" s="76">
        <v>1965</v>
      </c>
      <c r="D475" s="76" t="s">
        <v>77</v>
      </c>
      <c r="E475" s="95">
        <v>5</v>
      </c>
      <c r="F475" s="95">
        <v>5</v>
      </c>
      <c r="G475" s="8">
        <v>3654.8</v>
      </c>
      <c r="H475" s="8">
        <v>3252.7</v>
      </c>
      <c r="I475" s="8">
        <f>H475-467.7</f>
        <v>2785</v>
      </c>
      <c r="J475" s="16">
        <v>140</v>
      </c>
      <c r="K475" s="8">
        <v>1552498</v>
      </c>
      <c r="L475" s="8">
        <v>0</v>
      </c>
      <c r="M475" s="8">
        <v>0</v>
      </c>
      <c r="N475" s="8">
        <v>1194865</v>
      </c>
      <c r="O475" s="8">
        <v>357633</v>
      </c>
      <c r="P475" s="8">
        <v>0</v>
      </c>
      <c r="Q475" s="8">
        <v>0</v>
      </c>
      <c r="R475" s="133">
        <v>2028</v>
      </c>
      <c r="S475" s="133">
        <v>2028</v>
      </c>
    </row>
    <row r="476" spans="1:19" ht="18.75" customHeight="1">
      <c r="A476" s="76">
        <v>52</v>
      </c>
      <c r="B476" s="124" t="s">
        <v>604</v>
      </c>
      <c r="C476" s="76">
        <v>1927</v>
      </c>
      <c r="D476" s="76" t="s">
        <v>132</v>
      </c>
      <c r="E476" s="95">
        <v>2</v>
      </c>
      <c r="F476" s="95">
        <v>1</v>
      </c>
      <c r="G476" s="8">
        <v>351.1</v>
      </c>
      <c r="H476" s="8">
        <v>322.89999999999998</v>
      </c>
      <c r="I476" s="8">
        <v>284.09999999999997</v>
      </c>
      <c r="J476" s="16">
        <v>16</v>
      </c>
      <c r="K476" s="8">
        <v>1713946.9500000002</v>
      </c>
      <c r="L476" s="8">
        <v>0</v>
      </c>
      <c r="M476" s="8">
        <v>0</v>
      </c>
      <c r="N476" s="8">
        <v>691369.03</v>
      </c>
      <c r="O476" s="8">
        <v>1022577.9199999999</v>
      </c>
      <c r="P476" s="8">
        <v>0</v>
      </c>
      <c r="Q476" s="8">
        <v>0</v>
      </c>
      <c r="R476" s="133">
        <v>2028</v>
      </c>
      <c r="S476" s="133">
        <v>2028</v>
      </c>
    </row>
    <row r="477" spans="1:19" ht="18.75" customHeight="1">
      <c r="A477" s="76">
        <v>53</v>
      </c>
      <c r="B477" s="124" t="s">
        <v>395</v>
      </c>
      <c r="C477" s="76">
        <v>1917</v>
      </c>
      <c r="D477" s="76" t="s">
        <v>75</v>
      </c>
      <c r="E477" s="95">
        <v>2</v>
      </c>
      <c r="F477" s="95">
        <v>2</v>
      </c>
      <c r="G477" s="8">
        <v>683.5</v>
      </c>
      <c r="H477" s="8">
        <v>540.70000000000005</v>
      </c>
      <c r="I477" s="8">
        <f>H477</f>
        <v>540.70000000000005</v>
      </c>
      <c r="J477" s="16">
        <v>12</v>
      </c>
      <c r="K477" s="8">
        <v>2263808.9699999997</v>
      </c>
      <c r="L477" s="8">
        <v>0</v>
      </c>
      <c r="M477" s="8">
        <v>0</v>
      </c>
      <c r="N477" s="8">
        <v>2263808.9699999997</v>
      </c>
      <c r="O477" s="8">
        <v>0</v>
      </c>
      <c r="P477" s="8">
        <v>0</v>
      </c>
      <c r="Q477" s="8">
        <v>0</v>
      </c>
      <c r="R477" s="133">
        <v>2028</v>
      </c>
      <c r="S477" s="133">
        <v>2028</v>
      </c>
    </row>
    <row r="478" spans="1:19" ht="18.75" customHeight="1">
      <c r="A478" s="76">
        <v>54</v>
      </c>
      <c r="B478" s="124" t="s">
        <v>605</v>
      </c>
      <c r="C478" s="76">
        <v>1929</v>
      </c>
      <c r="D478" s="95" t="s">
        <v>118</v>
      </c>
      <c r="E478" s="95">
        <v>3</v>
      </c>
      <c r="F478" s="95">
        <v>2</v>
      </c>
      <c r="G478" s="8">
        <v>1006.1</v>
      </c>
      <c r="H478" s="8">
        <v>966.2</v>
      </c>
      <c r="I478" s="8">
        <f>H478-58.1</f>
        <v>908.1</v>
      </c>
      <c r="J478" s="16">
        <v>41</v>
      </c>
      <c r="K478" s="8">
        <v>2368102.7199999997</v>
      </c>
      <c r="L478" s="8">
        <v>0</v>
      </c>
      <c r="M478" s="8">
        <v>0</v>
      </c>
      <c r="N478" s="8">
        <v>1418462.99</v>
      </c>
      <c r="O478" s="8">
        <v>949639.73</v>
      </c>
      <c r="P478" s="8">
        <v>0</v>
      </c>
      <c r="Q478" s="8">
        <v>0</v>
      </c>
      <c r="R478" s="133">
        <v>2028</v>
      </c>
      <c r="S478" s="133">
        <v>2028</v>
      </c>
    </row>
    <row r="479" spans="1:19" ht="18.75" customHeight="1">
      <c r="A479" s="76">
        <v>55</v>
      </c>
      <c r="B479" s="124" t="s">
        <v>396</v>
      </c>
      <c r="C479" s="76">
        <v>1975</v>
      </c>
      <c r="D479" s="95" t="s">
        <v>77</v>
      </c>
      <c r="E479" s="95">
        <v>9</v>
      </c>
      <c r="F479" s="95">
        <v>2</v>
      </c>
      <c r="G479" s="8">
        <v>8707.5999999999985</v>
      </c>
      <c r="H479" s="8">
        <v>7750.1</v>
      </c>
      <c r="I479" s="8">
        <v>7435.1</v>
      </c>
      <c r="J479" s="58">
        <v>325</v>
      </c>
      <c r="K479" s="8">
        <v>20381587.546160001</v>
      </c>
      <c r="L479" s="8">
        <v>0</v>
      </c>
      <c r="M479" s="8">
        <v>0</v>
      </c>
      <c r="N479" s="8">
        <v>17285425.556160003</v>
      </c>
      <c r="O479" s="8">
        <v>3096161.99</v>
      </c>
      <c r="P479" s="8">
        <v>0</v>
      </c>
      <c r="Q479" s="8">
        <v>0</v>
      </c>
      <c r="R479" s="133">
        <v>2028</v>
      </c>
      <c r="S479" s="133">
        <v>2028</v>
      </c>
    </row>
    <row r="480" spans="1:19" ht="18.75" customHeight="1">
      <c r="A480" s="76">
        <v>56</v>
      </c>
      <c r="B480" s="121" t="s">
        <v>397</v>
      </c>
      <c r="C480" s="95">
        <v>1926</v>
      </c>
      <c r="D480" s="95" t="s">
        <v>132</v>
      </c>
      <c r="E480" s="95">
        <v>2</v>
      </c>
      <c r="F480" s="95">
        <v>2</v>
      </c>
      <c r="G480" s="8">
        <v>565.29999999999995</v>
      </c>
      <c r="H480" s="8">
        <v>548.4</v>
      </c>
      <c r="I480" s="8">
        <v>321.10000000000002</v>
      </c>
      <c r="J480" s="58">
        <v>24</v>
      </c>
      <c r="K480" s="8">
        <v>1179853.5999999999</v>
      </c>
      <c r="L480" s="8">
        <v>0</v>
      </c>
      <c r="M480" s="8">
        <v>0</v>
      </c>
      <c r="N480" s="8">
        <v>243748</v>
      </c>
      <c r="O480" s="8">
        <v>936105.6</v>
      </c>
      <c r="P480" s="8">
        <v>0</v>
      </c>
      <c r="Q480" s="8">
        <v>0</v>
      </c>
      <c r="R480" s="133">
        <v>2028</v>
      </c>
      <c r="S480" s="133">
        <v>2028</v>
      </c>
    </row>
    <row r="481" spans="1:19" ht="18.75" customHeight="1">
      <c r="A481" s="76">
        <v>57</v>
      </c>
      <c r="B481" s="121" t="s">
        <v>398</v>
      </c>
      <c r="C481" s="95">
        <v>1834</v>
      </c>
      <c r="D481" s="76" t="s">
        <v>75</v>
      </c>
      <c r="E481" s="95">
        <v>3</v>
      </c>
      <c r="F481" s="95">
        <v>2</v>
      </c>
      <c r="G481" s="8">
        <v>946.3</v>
      </c>
      <c r="H481" s="8">
        <v>852.3</v>
      </c>
      <c r="I481" s="8">
        <v>261.89999999999998</v>
      </c>
      <c r="J481" s="58">
        <v>9</v>
      </c>
      <c r="K481" s="8">
        <v>9785775.3000000007</v>
      </c>
      <c r="L481" s="8">
        <v>0</v>
      </c>
      <c r="M481" s="8">
        <v>0</v>
      </c>
      <c r="N481" s="8">
        <v>4953018.68</v>
      </c>
      <c r="O481" s="8">
        <f>1508933.2+3323823.42</f>
        <v>4832756.62</v>
      </c>
      <c r="P481" s="8">
        <v>0</v>
      </c>
      <c r="Q481" s="8">
        <v>0</v>
      </c>
      <c r="R481" s="133">
        <v>2028</v>
      </c>
      <c r="S481" s="133">
        <v>2028</v>
      </c>
    </row>
    <row r="482" spans="1:19" ht="18.75" customHeight="1">
      <c r="A482" s="76">
        <v>58</v>
      </c>
      <c r="B482" s="121" t="s">
        <v>606</v>
      </c>
      <c r="C482" s="95">
        <v>1853</v>
      </c>
      <c r="D482" s="95" t="s">
        <v>132</v>
      </c>
      <c r="E482" s="95">
        <v>2</v>
      </c>
      <c r="F482" s="95">
        <v>2</v>
      </c>
      <c r="G482" s="8">
        <v>203.4</v>
      </c>
      <c r="H482" s="8">
        <v>483.2</v>
      </c>
      <c r="I482" s="8">
        <v>454.1</v>
      </c>
      <c r="J482" s="58">
        <v>26</v>
      </c>
      <c r="K482" s="8">
        <v>1217133.3500000001</v>
      </c>
      <c r="L482" s="8">
        <v>0</v>
      </c>
      <c r="M482" s="8">
        <v>0</v>
      </c>
      <c r="N482" s="8">
        <v>278634.59000000003</v>
      </c>
      <c r="O482" s="8">
        <v>938498.76</v>
      </c>
      <c r="P482" s="8">
        <v>0</v>
      </c>
      <c r="Q482" s="8">
        <v>0</v>
      </c>
      <c r="R482" s="133">
        <v>2028</v>
      </c>
      <c r="S482" s="133">
        <v>2028</v>
      </c>
    </row>
    <row r="483" spans="1:19" ht="18.75" customHeight="1">
      <c r="A483" s="76">
        <v>59</v>
      </c>
      <c r="B483" s="121" t="s">
        <v>607</v>
      </c>
      <c r="C483" s="95">
        <v>1853</v>
      </c>
      <c r="D483" s="95" t="s">
        <v>132</v>
      </c>
      <c r="E483" s="95">
        <v>2</v>
      </c>
      <c r="F483" s="95">
        <v>2</v>
      </c>
      <c r="G483" s="8">
        <v>516.70000000000005</v>
      </c>
      <c r="H483" s="8">
        <v>492.3</v>
      </c>
      <c r="I483" s="8">
        <v>462.3</v>
      </c>
      <c r="J483" s="58">
        <v>24</v>
      </c>
      <c r="K483" s="8">
        <v>1240055.3599999999</v>
      </c>
      <c r="L483" s="8">
        <v>0</v>
      </c>
      <c r="M483" s="8">
        <v>0</v>
      </c>
      <c r="N483" s="8">
        <v>283305.86</v>
      </c>
      <c r="O483" s="8">
        <v>956749.5</v>
      </c>
      <c r="P483" s="8">
        <v>0</v>
      </c>
      <c r="Q483" s="8">
        <v>0</v>
      </c>
      <c r="R483" s="133">
        <v>2028</v>
      </c>
      <c r="S483" s="133">
        <v>2028</v>
      </c>
    </row>
    <row r="484" spans="1:19" ht="18.75" customHeight="1">
      <c r="A484" s="76">
        <v>60</v>
      </c>
      <c r="B484" s="121" t="s">
        <v>399</v>
      </c>
      <c r="C484" s="95">
        <v>1964</v>
      </c>
      <c r="D484" s="95" t="s">
        <v>77</v>
      </c>
      <c r="E484" s="95">
        <v>5</v>
      </c>
      <c r="F484" s="95">
        <v>4</v>
      </c>
      <c r="G484" s="8">
        <v>3687.9</v>
      </c>
      <c r="H484" s="8">
        <v>3542</v>
      </c>
      <c r="I484" s="8">
        <v>3311.8</v>
      </c>
      <c r="J484" s="58">
        <v>160</v>
      </c>
      <c r="K484" s="8">
        <v>1376298</v>
      </c>
      <c r="L484" s="8">
        <v>0</v>
      </c>
      <c r="M484" s="8">
        <v>0</v>
      </c>
      <c r="N484" s="8">
        <v>1376298</v>
      </c>
      <c r="O484" s="8">
        <v>0</v>
      </c>
      <c r="P484" s="8">
        <v>0</v>
      </c>
      <c r="Q484" s="8">
        <v>0</v>
      </c>
      <c r="R484" s="133">
        <v>2028</v>
      </c>
      <c r="S484" s="133">
        <v>2028</v>
      </c>
    </row>
    <row r="485" spans="1:19" ht="18.75" customHeight="1">
      <c r="A485" s="76">
        <v>61</v>
      </c>
      <c r="B485" s="121" t="s">
        <v>608</v>
      </c>
      <c r="C485" s="95">
        <v>1966</v>
      </c>
      <c r="D485" s="76" t="s">
        <v>75</v>
      </c>
      <c r="E485" s="95">
        <v>9</v>
      </c>
      <c r="F485" s="95">
        <v>1</v>
      </c>
      <c r="G485" s="8">
        <v>3134.8</v>
      </c>
      <c r="H485" s="8">
        <v>2851.7</v>
      </c>
      <c r="I485" s="8">
        <v>1892.1</v>
      </c>
      <c r="J485" s="58">
        <v>96</v>
      </c>
      <c r="K485" s="8">
        <v>3793797</v>
      </c>
      <c r="L485" s="8">
        <v>0</v>
      </c>
      <c r="M485" s="8">
        <v>0</v>
      </c>
      <c r="N485" s="8">
        <f>K485</f>
        <v>3793797</v>
      </c>
      <c r="O485" s="8">
        <v>0</v>
      </c>
      <c r="P485" s="8">
        <v>0</v>
      </c>
      <c r="Q485" s="8">
        <v>0</v>
      </c>
      <c r="R485" s="133">
        <v>2028</v>
      </c>
      <c r="S485" s="133">
        <v>2028</v>
      </c>
    </row>
    <row r="486" spans="1:19" ht="18.75" customHeight="1">
      <c r="A486" s="76">
        <v>62</v>
      </c>
      <c r="B486" s="121" t="s">
        <v>400</v>
      </c>
      <c r="C486" s="95">
        <v>1859</v>
      </c>
      <c r="D486" s="76" t="s">
        <v>75</v>
      </c>
      <c r="E486" s="95" t="s">
        <v>357</v>
      </c>
      <c r="F486" s="95">
        <v>2</v>
      </c>
      <c r="G486" s="8">
        <v>2133.6999999999998</v>
      </c>
      <c r="H486" s="8">
        <v>1888.7</v>
      </c>
      <c r="I486" s="8">
        <v>1325.3</v>
      </c>
      <c r="J486" s="58">
        <v>47</v>
      </c>
      <c r="K486" s="8">
        <v>14378122.280000003</v>
      </c>
      <c r="L486" s="8">
        <v>0</v>
      </c>
      <c r="M486" s="8">
        <v>0</v>
      </c>
      <c r="N486" s="8">
        <v>5609542.4199999999</v>
      </c>
      <c r="O486" s="8">
        <f>5275351.58+3493228.28</f>
        <v>8768579.8599999994</v>
      </c>
      <c r="P486" s="8">
        <v>0</v>
      </c>
      <c r="Q486" s="8">
        <v>0</v>
      </c>
      <c r="R486" s="133">
        <v>2028</v>
      </c>
      <c r="S486" s="133">
        <v>2028</v>
      </c>
    </row>
    <row r="487" spans="1:19" ht="18.75" customHeight="1">
      <c r="A487" s="76">
        <v>63</v>
      </c>
      <c r="B487" s="121" t="s">
        <v>401</v>
      </c>
      <c r="C487" s="95">
        <v>1988</v>
      </c>
      <c r="D487" s="95" t="s">
        <v>77</v>
      </c>
      <c r="E487" s="95">
        <v>9</v>
      </c>
      <c r="F487" s="95">
        <v>3</v>
      </c>
      <c r="G487" s="8">
        <v>6516.4</v>
      </c>
      <c r="H487" s="8">
        <v>5802.1</v>
      </c>
      <c r="I487" s="8">
        <v>5701</v>
      </c>
      <c r="J487" s="58">
        <v>252</v>
      </c>
      <c r="K487" s="8">
        <v>3159503</v>
      </c>
      <c r="L487" s="8">
        <v>0</v>
      </c>
      <c r="M487" s="8">
        <v>0</v>
      </c>
      <c r="N487" s="8">
        <v>3159503</v>
      </c>
      <c r="O487" s="8">
        <v>0</v>
      </c>
      <c r="P487" s="8">
        <v>0</v>
      </c>
      <c r="Q487" s="8">
        <v>0</v>
      </c>
      <c r="R487" s="133">
        <v>2028</v>
      </c>
      <c r="S487" s="133">
        <v>2028</v>
      </c>
    </row>
    <row r="488" spans="1:19" ht="18.75" customHeight="1">
      <c r="A488" s="76">
        <v>64</v>
      </c>
      <c r="B488" s="121" t="s">
        <v>753</v>
      </c>
      <c r="C488" s="95">
        <v>1979</v>
      </c>
      <c r="D488" s="76" t="s">
        <v>75</v>
      </c>
      <c r="E488" s="95">
        <v>9</v>
      </c>
      <c r="F488" s="95">
        <v>1</v>
      </c>
      <c r="G488" s="8">
        <v>2675.2</v>
      </c>
      <c r="H488" s="8">
        <v>2382.6</v>
      </c>
      <c r="I488" s="8">
        <v>2314.3000000000002</v>
      </c>
      <c r="J488" s="58">
        <v>88</v>
      </c>
      <c r="K488" s="8">
        <v>1527891</v>
      </c>
      <c r="L488" s="8">
        <v>0</v>
      </c>
      <c r="M488" s="8">
        <v>0</v>
      </c>
      <c r="N488" s="8">
        <v>1527891</v>
      </c>
      <c r="O488" s="8">
        <v>0</v>
      </c>
      <c r="P488" s="8">
        <v>0</v>
      </c>
      <c r="Q488" s="8">
        <v>0</v>
      </c>
      <c r="R488" s="133">
        <v>2028</v>
      </c>
      <c r="S488" s="133">
        <v>2028</v>
      </c>
    </row>
    <row r="489" spans="1:19" ht="18.75" customHeight="1">
      <c r="A489" s="76">
        <v>65</v>
      </c>
      <c r="B489" s="121" t="s">
        <v>754</v>
      </c>
      <c r="C489" s="95">
        <v>1939</v>
      </c>
      <c r="D489" s="76" t="s">
        <v>75</v>
      </c>
      <c r="E489" s="95">
        <v>5</v>
      </c>
      <c r="F489" s="95">
        <v>12</v>
      </c>
      <c r="G489" s="8">
        <v>9744.2999999999993</v>
      </c>
      <c r="H489" s="8">
        <v>8657.4</v>
      </c>
      <c r="I489" s="8">
        <v>8470.7999999999993</v>
      </c>
      <c r="J489" s="58">
        <v>164</v>
      </c>
      <c r="K489" s="8">
        <v>21807140.439999998</v>
      </c>
      <c r="L489" s="8">
        <v>0</v>
      </c>
      <c r="M489" s="8">
        <v>0</v>
      </c>
      <c r="N489" s="8">
        <v>5568593</v>
      </c>
      <c r="O489" s="8">
        <v>16238547.439999999</v>
      </c>
      <c r="P489" s="8">
        <v>0</v>
      </c>
      <c r="Q489" s="8">
        <v>0</v>
      </c>
      <c r="R489" s="133">
        <v>2028</v>
      </c>
      <c r="S489" s="133">
        <v>2028</v>
      </c>
    </row>
    <row r="490" spans="1:19" ht="18.75" customHeight="1">
      <c r="A490" s="76">
        <v>66</v>
      </c>
      <c r="B490" s="121" t="s">
        <v>402</v>
      </c>
      <c r="C490" s="95">
        <v>1980</v>
      </c>
      <c r="D490" s="76" t="s">
        <v>75</v>
      </c>
      <c r="E490" s="95">
        <v>9</v>
      </c>
      <c r="F490" s="95">
        <v>1</v>
      </c>
      <c r="G490" s="8">
        <v>2599.8000000000002</v>
      </c>
      <c r="H490" s="8">
        <v>2307</v>
      </c>
      <c r="I490" s="8">
        <v>2307</v>
      </c>
      <c r="J490" s="58">
        <v>109</v>
      </c>
      <c r="K490" s="8">
        <v>2247588.48</v>
      </c>
      <c r="L490" s="8">
        <v>0</v>
      </c>
      <c r="M490" s="8">
        <v>0</v>
      </c>
      <c r="N490" s="8">
        <v>1527891</v>
      </c>
      <c r="O490" s="8">
        <v>719697.48</v>
      </c>
      <c r="P490" s="8">
        <v>0</v>
      </c>
      <c r="Q490" s="8">
        <v>0</v>
      </c>
      <c r="R490" s="133">
        <v>2028</v>
      </c>
      <c r="S490" s="133">
        <v>2028</v>
      </c>
    </row>
    <row r="491" spans="1:19" ht="18.75" customHeight="1">
      <c r="A491" s="76">
        <v>67</v>
      </c>
      <c r="B491" s="124" t="s">
        <v>755</v>
      </c>
      <c r="C491" s="95">
        <v>1974</v>
      </c>
      <c r="D491" s="95" t="s">
        <v>118</v>
      </c>
      <c r="E491" s="95">
        <v>12</v>
      </c>
      <c r="F491" s="95">
        <v>1</v>
      </c>
      <c r="G491" s="8">
        <v>3833.3</v>
      </c>
      <c r="H491" s="8">
        <v>3632.2</v>
      </c>
      <c r="I491" s="8">
        <v>3350</v>
      </c>
      <c r="J491" s="133">
        <v>178</v>
      </c>
      <c r="K491" s="8">
        <v>1223262</v>
      </c>
      <c r="L491" s="8">
        <v>0</v>
      </c>
      <c r="M491" s="8">
        <v>0</v>
      </c>
      <c r="N491" s="8">
        <v>1223262</v>
      </c>
      <c r="O491" s="8">
        <v>0</v>
      </c>
      <c r="P491" s="8">
        <v>0</v>
      </c>
      <c r="Q491" s="8">
        <v>0</v>
      </c>
      <c r="R491" s="133">
        <v>2028</v>
      </c>
      <c r="S491" s="133">
        <v>2028</v>
      </c>
    </row>
    <row r="492" spans="1:19" ht="18.75" customHeight="1">
      <c r="A492" s="76">
        <v>68</v>
      </c>
      <c r="B492" s="124" t="s">
        <v>403</v>
      </c>
      <c r="C492" s="95">
        <v>1947</v>
      </c>
      <c r="D492" s="76" t="s">
        <v>75</v>
      </c>
      <c r="E492" s="95">
        <v>4</v>
      </c>
      <c r="F492" s="95">
        <v>2</v>
      </c>
      <c r="G492" s="8">
        <v>1384.7</v>
      </c>
      <c r="H492" s="8">
        <v>1205.9000000000001</v>
      </c>
      <c r="I492" s="8">
        <f>H492-276.8-45.4</f>
        <v>883.70000000000016</v>
      </c>
      <c r="J492" s="133">
        <v>54</v>
      </c>
      <c r="K492" s="8">
        <v>31491280.550000001</v>
      </c>
      <c r="L492" s="8">
        <v>0</v>
      </c>
      <c r="M492" s="8">
        <v>0</v>
      </c>
      <c r="N492" s="8">
        <v>4010101</v>
      </c>
      <c r="O492" s="8">
        <v>27481179.550000001</v>
      </c>
      <c r="P492" s="8">
        <v>0</v>
      </c>
      <c r="Q492" s="8">
        <v>0</v>
      </c>
      <c r="R492" s="133">
        <v>2028</v>
      </c>
      <c r="S492" s="133">
        <v>2028</v>
      </c>
    </row>
    <row r="493" spans="1:19" ht="18.75" customHeight="1">
      <c r="A493" s="76">
        <v>69</v>
      </c>
      <c r="B493" s="124" t="s">
        <v>756</v>
      </c>
      <c r="C493" s="95">
        <v>1962</v>
      </c>
      <c r="D493" s="76" t="s">
        <v>75</v>
      </c>
      <c r="E493" s="95">
        <v>4</v>
      </c>
      <c r="F493" s="95">
        <v>3</v>
      </c>
      <c r="G493" s="8">
        <v>2152.1</v>
      </c>
      <c r="H493" s="8">
        <v>1979.1</v>
      </c>
      <c r="I493" s="8">
        <v>1865.9</v>
      </c>
      <c r="J493" s="133">
        <v>79</v>
      </c>
      <c r="K493" s="8">
        <v>4985158.5599999996</v>
      </c>
      <c r="L493" s="8">
        <v>0</v>
      </c>
      <c r="M493" s="8">
        <v>0</v>
      </c>
      <c r="N493" s="8">
        <v>1272992</v>
      </c>
      <c r="O493" s="8">
        <v>3712166.56</v>
      </c>
      <c r="P493" s="8">
        <v>0</v>
      </c>
      <c r="Q493" s="8">
        <v>0</v>
      </c>
      <c r="R493" s="133">
        <v>2028</v>
      </c>
      <c r="S493" s="133">
        <v>2028</v>
      </c>
    </row>
    <row r="494" spans="1:19" ht="18.75" customHeight="1">
      <c r="A494" s="76">
        <v>70</v>
      </c>
      <c r="B494" s="124" t="s">
        <v>404</v>
      </c>
      <c r="C494" s="95">
        <v>1956</v>
      </c>
      <c r="D494" s="76" t="s">
        <v>75</v>
      </c>
      <c r="E494" s="95">
        <v>2</v>
      </c>
      <c r="F494" s="95">
        <v>2</v>
      </c>
      <c r="G494" s="8">
        <v>424.9</v>
      </c>
      <c r="H494" s="8">
        <v>383.9</v>
      </c>
      <c r="I494" s="8">
        <v>383.9</v>
      </c>
      <c r="J494" s="133">
        <v>44</v>
      </c>
      <c r="K494" s="8">
        <v>326653.44</v>
      </c>
      <c r="L494" s="8">
        <v>0</v>
      </c>
      <c r="M494" s="8">
        <v>0</v>
      </c>
      <c r="N494" s="8">
        <v>223253</v>
      </c>
      <c r="O494" s="8">
        <v>103400.44</v>
      </c>
      <c r="P494" s="8">
        <v>0</v>
      </c>
      <c r="Q494" s="8">
        <v>0</v>
      </c>
      <c r="R494" s="133">
        <v>2028</v>
      </c>
      <c r="S494" s="133">
        <v>2028</v>
      </c>
    </row>
    <row r="495" spans="1:19" ht="18.75" customHeight="1">
      <c r="A495" s="76">
        <v>71</v>
      </c>
      <c r="B495" s="124" t="s">
        <v>757</v>
      </c>
      <c r="C495" s="95">
        <v>1962</v>
      </c>
      <c r="D495" s="76" t="s">
        <v>75</v>
      </c>
      <c r="E495" s="95">
        <v>2</v>
      </c>
      <c r="F495" s="95">
        <v>1</v>
      </c>
      <c r="G495" s="8">
        <v>362.4</v>
      </c>
      <c r="H495" s="8">
        <v>331.3</v>
      </c>
      <c r="I495" s="8">
        <v>297.39999999999998</v>
      </c>
      <c r="J495" s="133">
        <v>17</v>
      </c>
      <c r="K495" s="8">
        <v>2223266.4499999997</v>
      </c>
      <c r="L495" s="8">
        <v>0</v>
      </c>
      <c r="M495" s="8">
        <v>0</v>
      </c>
      <c r="N495" s="8">
        <v>495539.99</v>
      </c>
      <c r="O495" s="8">
        <f>377638.01+1350088.45</f>
        <v>1727726.46</v>
      </c>
      <c r="P495" s="8">
        <v>0</v>
      </c>
      <c r="Q495" s="8">
        <v>0</v>
      </c>
      <c r="R495" s="133">
        <v>2028</v>
      </c>
      <c r="S495" s="133">
        <v>2028</v>
      </c>
    </row>
    <row r="496" spans="1:19" ht="18.75" customHeight="1">
      <c r="A496" s="76">
        <v>72</v>
      </c>
      <c r="B496" s="124" t="s">
        <v>405</v>
      </c>
      <c r="C496" s="95">
        <v>1960</v>
      </c>
      <c r="D496" s="76" t="s">
        <v>75</v>
      </c>
      <c r="E496" s="95">
        <v>4</v>
      </c>
      <c r="F496" s="95">
        <v>2</v>
      </c>
      <c r="G496" s="8">
        <v>1367.9</v>
      </c>
      <c r="H496" s="8">
        <v>1271.3</v>
      </c>
      <c r="I496" s="8">
        <v>1258.5999999999999</v>
      </c>
      <c r="J496" s="133">
        <v>47</v>
      </c>
      <c r="K496" s="8">
        <v>4682809.62</v>
      </c>
      <c r="L496" s="8">
        <v>0</v>
      </c>
      <c r="M496" s="8">
        <v>0</v>
      </c>
      <c r="N496" s="8">
        <v>2869710</v>
      </c>
      <c r="O496" s="8">
        <v>1813099.62</v>
      </c>
      <c r="P496" s="8">
        <v>0</v>
      </c>
      <c r="Q496" s="8">
        <v>0</v>
      </c>
      <c r="R496" s="133">
        <v>2028</v>
      </c>
      <c r="S496" s="133">
        <v>2028</v>
      </c>
    </row>
    <row r="497" spans="1:19" ht="18.75" customHeight="1">
      <c r="A497" s="76">
        <v>73</v>
      </c>
      <c r="B497" s="124" t="s">
        <v>406</v>
      </c>
      <c r="C497" s="95">
        <v>1959</v>
      </c>
      <c r="D497" s="76" t="s">
        <v>75</v>
      </c>
      <c r="E497" s="95">
        <v>2</v>
      </c>
      <c r="F497" s="95">
        <v>2</v>
      </c>
      <c r="G497" s="8">
        <v>681.5</v>
      </c>
      <c r="H497" s="8">
        <v>632.1</v>
      </c>
      <c r="I497" s="8">
        <v>589.6</v>
      </c>
      <c r="J497" s="133">
        <v>28</v>
      </c>
      <c r="K497" s="8">
        <v>1532993</v>
      </c>
      <c r="L497" s="8">
        <v>0</v>
      </c>
      <c r="M497" s="8">
        <v>0</v>
      </c>
      <c r="N497" s="8">
        <v>1532993</v>
      </c>
      <c r="O497" s="8">
        <v>0</v>
      </c>
      <c r="P497" s="8">
        <v>0</v>
      </c>
      <c r="Q497" s="8">
        <v>0</v>
      </c>
      <c r="R497" s="133">
        <v>2028</v>
      </c>
      <c r="S497" s="133">
        <v>2028</v>
      </c>
    </row>
    <row r="498" spans="1:19" ht="18.75" customHeight="1">
      <c r="A498" s="76">
        <v>74</v>
      </c>
      <c r="B498" s="124" t="s">
        <v>758</v>
      </c>
      <c r="C498" s="95">
        <v>1953</v>
      </c>
      <c r="D498" s="76" t="s">
        <v>75</v>
      </c>
      <c r="E498" s="95">
        <v>3</v>
      </c>
      <c r="F498" s="95">
        <v>3</v>
      </c>
      <c r="G498" s="8">
        <v>2201.1999999999998</v>
      </c>
      <c r="H498" s="8">
        <v>1827.5</v>
      </c>
      <c r="I498" s="8">
        <v>1827.5</v>
      </c>
      <c r="J498" s="133">
        <v>50</v>
      </c>
      <c r="K498" s="8">
        <v>3353338.96</v>
      </c>
      <c r="L498" s="8">
        <v>0</v>
      </c>
      <c r="M498" s="8">
        <v>0</v>
      </c>
      <c r="N498" s="8">
        <v>1996706.03</v>
      </c>
      <c r="O498" s="8">
        <v>1356632.93</v>
      </c>
      <c r="P498" s="8">
        <v>0</v>
      </c>
      <c r="Q498" s="8">
        <v>0</v>
      </c>
      <c r="R498" s="133">
        <v>2028</v>
      </c>
      <c r="S498" s="133">
        <v>2028</v>
      </c>
    </row>
    <row r="499" spans="1:19" ht="18.75" customHeight="1">
      <c r="A499" s="76">
        <v>75</v>
      </c>
      <c r="B499" s="124" t="s">
        <v>609</v>
      </c>
      <c r="C499" s="95">
        <v>1959</v>
      </c>
      <c r="D499" s="76" t="s">
        <v>75</v>
      </c>
      <c r="E499" s="95">
        <v>3</v>
      </c>
      <c r="F499" s="95">
        <v>2</v>
      </c>
      <c r="G499" s="8">
        <v>1012.8</v>
      </c>
      <c r="H499" s="8">
        <v>983.7</v>
      </c>
      <c r="I499" s="8">
        <v>947.3</v>
      </c>
      <c r="J499" s="133">
        <v>22</v>
      </c>
      <c r="K499" s="8">
        <v>2589668</v>
      </c>
      <c r="L499" s="8">
        <v>0</v>
      </c>
      <c r="M499" s="8">
        <v>0</v>
      </c>
      <c r="N499" s="8">
        <v>2589668</v>
      </c>
      <c r="O499" s="8">
        <v>0</v>
      </c>
      <c r="P499" s="8">
        <v>0</v>
      </c>
      <c r="Q499" s="8">
        <v>0</v>
      </c>
      <c r="R499" s="133">
        <v>2028</v>
      </c>
      <c r="S499" s="133">
        <v>2028</v>
      </c>
    </row>
    <row r="500" spans="1:19" ht="18.75" customHeight="1">
      <c r="A500" s="76">
        <v>76</v>
      </c>
      <c r="B500" s="124" t="s">
        <v>409</v>
      </c>
      <c r="C500" s="95">
        <v>1956</v>
      </c>
      <c r="D500" s="76" t="s">
        <v>75</v>
      </c>
      <c r="E500" s="95">
        <v>2</v>
      </c>
      <c r="F500" s="95">
        <v>1</v>
      </c>
      <c r="G500" s="8">
        <v>564.1</v>
      </c>
      <c r="H500" s="8">
        <v>519.29999999999995</v>
      </c>
      <c r="I500" s="8">
        <v>519.29999999999995</v>
      </c>
      <c r="J500" s="133">
        <v>21</v>
      </c>
      <c r="K500" s="8">
        <v>1752886</v>
      </c>
      <c r="L500" s="8">
        <v>0</v>
      </c>
      <c r="M500" s="8">
        <v>0</v>
      </c>
      <c r="N500" s="8">
        <v>1752886</v>
      </c>
      <c r="O500" s="8">
        <v>0</v>
      </c>
      <c r="P500" s="8">
        <v>0</v>
      </c>
      <c r="Q500" s="8">
        <v>0</v>
      </c>
      <c r="R500" s="133">
        <v>2028</v>
      </c>
      <c r="S500" s="133">
        <v>2028</v>
      </c>
    </row>
    <row r="501" spans="1:19" ht="18.75" customHeight="1">
      <c r="A501" s="76">
        <v>77</v>
      </c>
      <c r="B501" s="124" t="s">
        <v>410</v>
      </c>
      <c r="C501" s="95">
        <v>1959</v>
      </c>
      <c r="D501" s="76" t="s">
        <v>75</v>
      </c>
      <c r="E501" s="95">
        <v>2</v>
      </c>
      <c r="F501" s="95">
        <v>2</v>
      </c>
      <c r="G501" s="8">
        <v>675.3</v>
      </c>
      <c r="H501" s="8">
        <v>628.20000000000005</v>
      </c>
      <c r="I501" s="8">
        <v>585.79999999999995</v>
      </c>
      <c r="J501" s="133">
        <v>32</v>
      </c>
      <c r="K501" s="8">
        <v>2125966.11</v>
      </c>
      <c r="L501" s="8">
        <v>0</v>
      </c>
      <c r="M501" s="8">
        <v>0</v>
      </c>
      <c r="N501" s="8">
        <v>2125966.11</v>
      </c>
      <c r="O501" s="8">
        <v>0</v>
      </c>
      <c r="P501" s="8">
        <v>0</v>
      </c>
      <c r="Q501" s="8">
        <v>0</v>
      </c>
      <c r="R501" s="133">
        <v>2028</v>
      </c>
      <c r="S501" s="133">
        <v>2028</v>
      </c>
    </row>
    <row r="502" spans="1:19" ht="18.75" customHeight="1">
      <c r="A502" s="76">
        <v>78</v>
      </c>
      <c r="B502" s="124" t="s">
        <v>759</v>
      </c>
      <c r="C502" s="95">
        <v>1960</v>
      </c>
      <c r="D502" s="76" t="s">
        <v>75</v>
      </c>
      <c r="E502" s="95">
        <v>4</v>
      </c>
      <c r="F502" s="95">
        <v>2</v>
      </c>
      <c r="G502" s="8">
        <v>1376.7</v>
      </c>
      <c r="H502" s="8">
        <v>1289.2</v>
      </c>
      <c r="I502" s="8">
        <v>1213.8</v>
      </c>
      <c r="J502" s="133">
        <v>53</v>
      </c>
      <c r="K502" s="8">
        <v>6099267</v>
      </c>
      <c r="L502" s="8">
        <v>0</v>
      </c>
      <c r="M502" s="8">
        <v>0</v>
      </c>
      <c r="N502" s="8">
        <v>6099267</v>
      </c>
      <c r="O502" s="8">
        <v>0</v>
      </c>
      <c r="P502" s="8">
        <v>0</v>
      </c>
      <c r="Q502" s="8">
        <v>0</v>
      </c>
      <c r="R502" s="133">
        <v>2028</v>
      </c>
      <c r="S502" s="133">
        <v>2028</v>
      </c>
    </row>
    <row r="503" spans="1:19" ht="18.75" customHeight="1">
      <c r="A503" s="76">
        <v>79</v>
      </c>
      <c r="B503" s="124" t="s">
        <v>610</v>
      </c>
      <c r="C503" s="95">
        <v>1968</v>
      </c>
      <c r="D503" s="95" t="s">
        <v>77</v>
      </c>
      <c r="E503" s="95">
        <v>5</v>
      </c>
      <c r="F503" s="95">
        <v>5</v>
      </c>
      <c r="G503" s="8">
        <v>3421.8</v>
      </c>
      <c r="H503" s="8">
        <v>3086.4</v>
      </c>
      <c r="I503" s="8">
        <v>3045</v>
      </c>
      <c r="J503" s="133">
        <v>144</v>
      </c>
      <c r="K503" s="8">
        <v>16074062.5</v>
      </c>
      <c r="L503" s="8">
        <v>0</v>
      </c>
      <c r="M503" s="8">
        <v>0</v>
      </c>
      <c r="N503" s="8">
        <v>13068971</v>
      </c>
      <c r="O503" s="8">
        <v>3005091.5</v>
      </c>
      <c r="P503" s="8">
        <v>0</v>
      </c>
      <c r="Q503" s="8">
        <v>0</v>
      </c>
      <c r="R503" s="133">
        <v>2028</v>
      </c>
      <c r="S503" s="133">
        <v>2028</v>
      </c>
    </row>
    <row r="504" spans="1:19" ht="18.75" customHeight="1">
      <c r="A504" s="76">
        <v>80</v>
      </c>
      <c r="B504" s="124" t="s">
        <v>760</v>
      </c>
      <c r="C504" s="95">
        <v>1960</v>
      </c>
      <c r="D504" s="95" t="s">
        <v>118</v>
      </c>
      <c r="E504" s="95">
        <v>3</v>
      </c>
      <c r="F504" s="95">
        <v>2</v>
      </c>
      <c r="G504" s="8">
        <v>830.8</v>
      </c>
      <c r="H504" s="8">
        <v>756.5</v>
      </c>
      <c r="I504" s="8">
        <v>714.7</v>
      </c>
      <c r="J504" s="133">
        <v>26</v>
      </c>
      <c r="K504" s="8">
        <v>1905549.21</v>
      </c>
      <c r="L504" s="8">
        <v>0</v>
      </c>
      <c r="M504" s="8">
        <v>0</v>
      </c>
      <c r="N504" s="8">
        <v>486593.51</v>
      </c>
      <c r="O504" s="8">
        <v>1418955.7</v>
      </c>
      <c r="P504" s="8">
        <v>0</v>
      </c>
      <c r="Q504" s="8">
        <v>0</v>
      </c>
      <c r="R504" s="133">
        <v>2028</v>
      </c>
      <c r="S504" s="133">
        <v>2028</v>
      </c>
    </row>
    <row r="505" spans="1:19" ht="18.75" customHeight="1">
      <c r="A505" s="76">
        <v>81</v>
      </c>
      <c r="B505" s="124" t="s">
        <v>761</v>
      </c>
      <c r="C505" s="95">
        <v>1960</v>
      </c>
      <c r="D505" s="76" t="s">
        <v>75</v>
      </c>
      <c r="E505" s="95">
        <v>2</v>
      </c>
      <c r="F505" s="95">
        <v>1</v>
      </c>
      <c r="G505" s="8">
        <v>296.10000000000002</v>
      </c>
      <c r="H505" s="8">
        <v>285.10000000000002</v>
      </c>
      <c r="I505" s="8">
        <v>246.3</v>
      </c>
      <c r="J505" s="133">
        <v>16</v>
      </c>
      <c r="K505" s="8">
        <v>2423166</v>
      </c>
      <c r="L505" s="8">
        <v>0</v>
      </c>
      <c r="M505" s="8">
        <v>0</v>
      </c>
      <c r="N505" s="8">
        <v>2423166</v>
      </c>
      <c r="O505" s="8">
        <v>0</v>
      </c>
      <c r="P505" s="8">
        <v>0</v>
      </c>
      <c r="Q505" s="8">
        <v>0</v>
      </c>
      <c r="R505" s="133">
        <v>2028</v>
      </c>
      <c r="S505" s="133">
        <v>2028</v>
      </c>
    </row>
    <row r="506" spans="1:19" ht="18.75" customHeight="1">
      <c r="A506" s="76">
        <v>82</v>
      </c>
      <c r="B506" s="124" t="s">
        <v>412</v>
      </c>
      <c r="C506" s="95">
        <v>1948</v>
      </c>
      <c r="D506" s="76" t="s">
        <v>118</v>
      </c>
      <c r="E506" s="95">
        <v>2</v>
      </c>
      <c r="F506" s="95">
        <v>3</v>
      </c>
      <c r="G506" s="8">
        <v>1324.2</v>
      </c>
      <c r="H506" s="8">
        <v>1206</v>
      </c>
      <c r="I506" s="8">
        <v>1093.4000000000001</v>
      </c>
      <c r="J506" s="133">
        <v>60</v>
      </c>
      <c r="K506" s="8">
        <v>910743.78</v>
      </c>
      <c r="L506" s="8">
        <v>0</v>
      </c>
      <c r="M506" s="8">
        <v>0</v>
      </c>
      <c r="N506" s="8">
        <v>701336.52</v>
      </c>
      <c r="O506" s="8">
        <v>209407.26</v>
      </c>
      <c r="P506" s="8">
        <v>0</v>
      </c>
      <c r="Q506" s="8">
        <v>0</v>
      </c>
      <c r="R506" s="133">
        <v>2028</v>
      </c>
      <c r="S506" s="133">
        <v>2028</v>
      </c>
    </row>
    <row r="507" spans="1:19" ht="18.75" customHeight="1">
      <c r="A507" s="76">
        <v>83</v>
      </c>
      <c r="B507" s="124" t="s">
        <v>611</v>
      </c>
      <c r="C507" s="95">
        <v>1960</v>
      </c>
      <c r="D507" s="76" t="s">
        <v>75</v>
      </c>
      <c r="E507" s="95">
        <v>4</v>
      </c>
      <c r="F507" s="95">
        <v>4</v>
      </c>
      <c r="G507" s="8">
        <v>2758.7</v>
      </c>
      <c r="H507" s="8">
        <v>2563.4</v>
      </c>
      <c r="I507" s="8">
        <v>2405.4</v>
      </c>
      <c r="J507" s="133">
        <v>105</v>
      </c>
      <c r="K507" s="8">
        <v>543592</v>
      </c>
      <c r="L507" s="8">
        <v>0</v>
      </c>
      <c r="M507" s="8">
        <v>0</v>
      </c>
      <c r="N507" s="8">
        <f>K507</f>
        <v>543592</v>
      </c>
      <c r="O507" s="8">
        <v>0</v>
      </c>
      <c r="P507" s="8">
        <v>0</v>
      </c>
      <c r="Q507" s="8">
        <v>0</v>
      </c>
      <c r="R507" s="133">
        <v>2028</v>
      </c>
      <c r="S507" s="133">
        <v>2028</v>
      </c>
    </row>
    <row r="508" spans="1:19" ht="18.75" customHeight="1">
      <c r="A508" s="76">
        <v>84</v>
      </c>
      <c r="B508" s="124" t="s">
        <v>413</v>
      </c>
      <c r="C508" s="95">
        <v>1973</v>
      </c>
      <c r="D508" s="95" t="s">
        <v>77</v>
      </c>
      <c r="E508" s="95">
        <v>5</v>
      </c>
      <c r="F508" s="95">
        <v>4</v>
      </c>
      <c r="G508" s="8">
        <v>3984.3</v>
      </c>
      <c r="H508" s="8">
        <v>3386.1</v>
      </c>
      <c r="I508" s="8">
        <v>3270.6</v>
      </c>
      <c r="J508" s="133">
        <v>68</v>
      </c>
      <c r="K508" s="8">
        <v>9931333.4199999999</v>
      </c>
      <c r="L508" s="8">
        <v>0</v>
      </c>
      <c r="M508" s="8">
        <v>0</v>
      </c>
      <c r="N508" s="8">
        <v>5072053</v>
      </c>
      <c r="O508" s="8">
        <v>4859280.42</v>
      </c>
      <c r="P508" s="8">
        <v>0</v>
      </c>
      <c r="Q508" s="8">
        <v>0</v>
      </c>
      <c r="R508" s="133">
        <v>2028</v>
      </c>
      <c r="S508" s="133">
        <v>2028</v>
      </c>
    </row>
    <row r="509" spans="1:19" ht="18.75" customHeight="1">
      <c r="A509" s="76">
        <v>85</v>
      </c>
      <c r="B509" s="124" t="s">
        <v>763</v>
      </c>
      <c r="C509" s="95">
        <v>1963</v>
      </c>
      <c r="D509" s="76" t="s">
        <v>75</v>
      </c>
      <c r="E509" s="95">
        <v>4</v>
      </c>
      <c r="F509" s="95">
        <v>4</v>
      </c>
      <c r="G509" s="8">
        <v>2747.3</v>
      </c>
      <c r="H509" s="8">
        <v>2503.3000000000002</v>
      </c>
      <c r="I509" s="8">
        <v>2256.6</v>
      </c>
      <c r="J509" s="133">
        <v>95</v>
      </c>
      <c r="K509" s="8">
        <v>18775739.449999999</v>
      </c>
      <c r="L509" s="8">
        <v>0</v>
      </c>
      <c r="M509" s="8">
        <v>0</v>
      </c>
      <c r="N509" s="8">
        <v>15824181.029999999</v>
      </c>
      <c r="O509" s="8">
        <f>2951558.42</f>
        <v>2951558.42</v>
      </c>
      <c r="P509" s="8">
        <v>0</v>
      </c>
      <c r="Q509" s="8">
        <v>0</v>
      </c>
      <c r="R509" s="133">
        <v>2028</v>
      </c>
      <c r="S509" s="133">
        <v>2028</v>
      </c>
    </row>
    <row r="510" spans="1:19" ht="18.75" customHeight="1">
      <c r="A510" s="76">
        <v>86</v>
      </c>
      <c r="B510" s="124" t="s">
        <v>764</v>
      </c>
      <c r="C510" s="95">
        <v>1965</v>
      </c>
      <c r="D510" s="76" t="s">
        <v>75</v>
      </c>
      <c r="E510" s="95">
        <v>5</v>
      </c>
      <c r="F510" s="95">
        <v>2</v>
      </c>
      <c r="G510" s="8">
        <v>1746.3</v>
      </c>
      <c r="H510" s="8">
        <v>1592.2</v>
      </c>
      <c r="I510" s="8">
        <v>504.4</v>
      </c>
      <c r="J510" s="133">
        <v>84</v>
      </c>
      <c r="K510" s="8">
        <v>70357</v>
      </c>
      <c r="L510" s="8">
        <v>0</v>
      </c>
      <c r="M510" s="8">
        <v>0</v>
      </c>
      <c r="N510" s="8">
        <v>70357</v>
      </c>
      <c r="O510" s="8">
        <v>0</v>
      </c>
      <c r="P510" s="8">
        <v>0</v>
      </c>
      <c r="Q510" s="8">
        <v>0</v>
      </c>
      <c r="R510" s="133">
        <v>2028</v>
      </c>
      <c r="S510" s="133">
        <v>2028</v>
      </c>
    </row>
    <row r="511" spans="1:19" ht="18.75" customHeight="1">
      <c r="A511" s="76">
        <v>87</v>
      </c>
      <c r="B511" s="124" t="s">
        <v>762</v>
      </c>
      <c r="C511" s="95">
        <v>1950</v>
      </c>
      <c r="D511" s="76" t="s">
        <v>118</v>
      </c>
      <c r="E511" s="95">
        <v>2</v>
      </c>
      <c r="F511" s="95">
        <v>2</v>
      </c>
      <c r="G511" s="8">
        <v>799.3</v>
      </c>
      <c r="H511" s="8">
        <v>722.8</v>
      </c>
      <c r="I511" s="8">
        <v>543.20000000000005</v>
      </c>
      <c r="J511" s="133">
        <v>39</v>
      </c>
      <c r="K511" s="8">
        <v>551566.66</v>
      </c>
      <c r="L511" s="8">
        <v>0</v>
      </c>
      <c r="M511" s="8">
        <v>0</v>
      </c>
      <c r="N511" s="8">
        <v>499149.65</v>
      </c>
      <c r="O511" s="8">
        <v>52417.01</v>
      </c>
      <c r="P511" s="8">
        <v>0</v>
      </c>
      <c r="Q511" s="8">
        <v>0</v>
      </c>
      <c r="R511" s="133">
        <v>2028</v>
      </c>
      <c r="S511" s="133">
        <v>2028</v>
      </c>
    </row>
    <row r="512" spans="1:19" ht="18.75" customHeight="1">
      <c r="A512" s="76">
        <v>88</v>
      </c>
      <c r="B512" s="121" t="s">
        <v>612</v>
      </c>
      <c r="C512" s="95">
        <v>1953</v>
      </c>
      <c r="D512" s="76" t="s">
        <v>75</v>
      </c>
      <c r="E512" s="95">
        <v>2</v>
      </c>
      <c r="F512" s="95">
        <v>2</v>
      </c>
      <c r="G512" s="8">
        <v>697.1</v>
      </c>
      <c r="H512" s="8">
        <v>627</v>
      </c>
      <c r="I512" s="8">
        <v>607.70000000000005</v>
      </c>
      <c r="J512" s="133">
        <v>42</v>
      </c>
      <c r="K512" s="8">
        <v>5125635.79</v>
      </c>
      <c r="L512" s="8">
        <v>0</v>
      </c>
      <c r="M512" s="8">
        <v>0</v>
      </c>
      <c r="N512" s="8">
        <v>4026235.93</v>
      </c>
      <c r="O512" s="8">
        <f>1099399.86</f>
        <v>1099399.8600000001</v>
      </c>
      <c r="P512" s="8">
        <v>0</v>
      </c>
      <c r="Q512" s="8">
        <v>0</v>
      </c>
      <c r="R512" s="133">
        <v>2028</v>
      </c>
      <c r="S512" s="133">
        <v>2028</v>
      </c>
    </row>
    <row r="513" spans="1:19" ht="18.75" customHeight="1">
      <c r="A513" s="76">
        <v>89</v>
      </c>
      <c r="B513" s="121" t="s">
        <v>414</v>
      </c>
      <c r="C513" s="95">
        <v>1957</v>
      </c>
      <c r="D513" s="76" t="s">
        <v>75</v>
      </c>
      <c r="E513" s="95">
        <v>4</v>
      </c>
      <c r="F513" s="95">
        <v>4</v>
      </c>
      <c r="G513" s="8">
        <v>3324.7</v>
      </c>
      <c r="H513" s="8">
        <v>2981.4</v>
      </c>
      <c r="I513" s="8">
        <v>2981.4</v>
      </c>
      <c r="J513" s="133">
        <v>132</v>
      </c>
      <c r="K513" s="8">
        <v>8137065.8200000003</v>
      </c>
      <c r="L513" s="8">
        <v>0</v>
      </c>
      <c r="M513" s="8">
        <v>0</v>
      </c>
      <c r="N513" s="8">
        <v>2899393.2</v>
      </c>
      <c r="O513" s="8">
        <f>5237672.62</f>
        <v>5237672.62</v>
      </c>
      <c r="P513" s="8">
        <v>0</v>
      </c>
      <c r="Q513" s="8">
        <v>0</v>
      </c>
      <c r="R513" s="133">
        <v>2028</v>
      </c>
      <c r="S513" s="133">
        <v>2028</v>
      </c>
    </row>
    <row r="514" spans="1:19" ht="18.75" customHeight="1">
      <c r="A514" s="76">
        <v>90</v>
      </c>
      <c r="B514" s="121" t="s">
        <v>415</v>
      </c>
      <c r="C514" s="95">
        <v>1954</v>
      </c>
      <c r="D514" s="76" t="s">
        <v>75</v>
      </c>
      <c r="E514" s="95">
        <v>2</v>
      </c>
      <c r="F514" s="95">
        <v>3</v>
      </c>
      <c r="G514" s="8">
        <v>1630.1</v>
      </c>
      <c r="H514" s="8">
        <v>1366.3</v>
      </c>
      <c r="I514" s="8">
        <v>1366.3</v>
      </c>
      <c r="J514" s="133">
        <v>52</v>
      </c>
      <c r="K514" s="8">
        <v>19915470.27</v>
      </c>
      <c r="L514" s="8">
        <v>0</v>
      </c>
      <c r="M514" s="8">
        <v>0</v>
      </c>
      <c r="N514" s="8">
        <v>16846616.879999999</v>
      </c>
      <c r="O514" s="8">
        <v>3068853.39</v>
      </c>
      <c r="P514" s="8">
        <v>0</v>
      </c>
      <c r="Q514" s="8">
        <v>0</v>
      </c>
      <c r="R514" s="133">
        <v>2028</v>
      </c>
      <c r="S514" s="133">
        <v>2028</v>
      </c>
    </row>
    <row r="515" spans="1:19" ht="18.75" customHeight="1">
      <c r="A515" s="76">
        <v>91</v>
      </c>
      <c r="B515" s="121" t="s">
        <v>613</v>
      </c>
      <c r="C515" s="95">
        <v>1956</v>
      </c>
      <c r="D515" s="76" t="s">
        <v>75</v>
      </c>
      <c r="E515" s="95">
        <v>2</v>
      </c>
      <c r="F515" s="95">
        <v>2</v>
      </c>
      <c r="G515" s="8">
        <v>430.6</v>
      </c>
      <c r="H515" s="8">
        <v>385.8</v>
      </c>
      <c r="I515" s="8">
        <v>365.4</v>
      </c>
      <c r="J515" s="133">
        <v>36</v>
      </c>
      <c r="K515" s="8">
        <v>1326325.3199999998</v>
      </c>
      <c r="L515" s="8">
        <v>0</v>
      </c>
      <c r="M515" s="8">
        <v>0</v>
      </c>
      <c r="N515" s="8">
        <v>649852.48</v>
      </c>
      <c r="O515" s="8">
        <f>676472.84</f>
        <v>676472.84</v>
      </c>
      <c r="P515" s="8">
        <v>0</v>
      </c>
      <c r="Q515" s="8">
        <v>0</v>
      </c>
      <c r="R515" s="133">
        <v>2028</v>
      </c>
      <c r="S515" s="133">
        <v>2028</v>
      </c>
    </row>
    <row r="516" spans="1:19" ht="18.75" customHeight="1">
      <c r="A516" s="76">
        <v>92</v>
      </c>
      <c r="B516" s="121" t="s">
        <v>416</v>
      </c>
      <c r="C516" s="95">
        <v>1972</v>
      </c>
      <c r="D516" s="95" t="s">
        <v>77</v>
      </c>
      <c r="E516" s="95">
        <v>5</v>
      </c>
      <c r="F516" s="95">
        <v>4</v>
      </c>
      <c r="G516" s="8">
        <v>3679.4</v>
      </c>
      <c r="H516" s="8">
        <v>3386.1</v>
      </c>
      <c r="I516" s="8">
        <v>3022.9</v>
      </c>
      <c r="J516" s="133">
        <v>70</v>
      </c>
      <c r="K516" s="8">
        <v>438153</v>
      </c>
      <c r="L516" s="8">
        <v>0</v>
      </c>
      <c r="M516" s="8">
        <v>0</v>
      </c>
      <c r="N516" s="8">
        <v>438153</v>
      </c>
      <c r="O516" s="8">
        <v>0</v>
      </c>
      <c r="P516" s="8">
        <v>0</v>
      </c>
      <c r="Q516" s="8">
        <v>0</v>
      </c>
      <c r="R516" s="133">
        <v>2028</v>
      </c>
      <c r="S516" s="133">
        <v>2028</v>
      </c>
    </row>
    <row r="517" spans="1:19" ht="18.75" customHeight="1">
      <c r="A517" s="76">
        <v>93</v>
      </c>
      <c r="B517" s="121" t="s">
        <v>417</v>
      </c>
      <c r="C517" s="95">
        <v>1973</v>
      </c>
      <c r="D517" s="76" t="s">
        <v>75</v>
      </c>
      <c r="E517" s="95">
        <v>5</v>
      </c>
      <c r="F517" s="95">
        <v>1</v>
      </c>
      <c r="G517" s="8">
        <v>2502.5</v>
      </c>
      <c r="H517" s="8">
        <v>1954.5</v>
      </c>
      <c r="I517" s="8">
        <v>1830.2</v>
      </c>
      <c r="J517" s="133">
        <v>143</v>
      </c>
      <c r="K517" s="8">
        <v>9462253.5800000001</v>
      </c>
      <c r="L517" s="8">
        <v>0</v>
      </c>
      <c r="M517" s="8">
        <v>0</v>
      </c>
      <c r="N517" s="8">
        <v>9462253.5800000001</v>
      </c>
      <c r="O517" s="8">
        <v>0</v>
      </c>
      <c r="P517" s="8">
        <v>0</v>
      </c>
      <c r="Q517" s="8">
        <v>0</v>
      </c>
      <c r="R517" s="133">
        <v>2028</v>
      </c>
      <c r="S517" s="133">
        <v>2028</v>
      </c>
    </row>
    <row r="518" spans="1:19" ht="18.75" customHeight="1">
      <c r="A518" s="76">
        <v>94</v>
      </c>
      <c r="B518" s="121" t="s">
        <v>418</v>
      </c>
      <c r="C518" s="95">
        <v>1969</v>
      </c>
      <c r="D518" s="76" t="s">
        <v>75</v>
      </c>
      <c r="E518" s="95">
        <v>4</v>
      </c>
      <c r="F518" s="95">
        <v>2</v>
      </c>
      <c r="G518" s="8">
        <v>1372.1</v>
      </c>
      <c r="H518" s="8">
        <v>1275</v>
      </c>
      <c r="I518" s="8">
        <v>1275</v>
      </c>
      <c r="J518" s="133">
        <v>82</v>
      </c>
      <c r="K518" s="8">
        <v>7085569.8200000003</v>
      </c>
      <c r="L518" s="8">
        <v>0</v>
      </c>
      <c r="M518" s="8">
        <v>0</v>
      </c>
      <c r="N518" s="8">
        <v>5073237.5599999996</v>
      </c>
      <c r="O518" s="8">
        <v>2012332.26</v>
      </c>
      <c r="P518" s="8">
        <v>0</v>
      </c>
      <c r="Q518" s="8">
        <v>0</v>
      </c>
      <c r="R518" s="133">
        <v>2028</v>
      </c>
      <c r="S518" s="133">
        <v>2028</v>
      </c>
    </row>
    <row r="519" spans="1:19" ht="18.75" customHeight="1">
      <c r="A519" s="76">
        <v>95</v>
      </c>
      <c r="B519" s="121" t="s">
        <v>419</v>
      </c>
      <c r="C519" s="95">
        <v>1936</v>
      </c>
      <c r="D519" s="76" t="s">
        <v>75</v>
      </c>
      <c r="E519" s="95">
        <v>4</v>
      </c>
      <c r="F519" s="95">
        <v>4</v>
      </c>
      <c r="G519" s="8">
        <v>5021.7</v>
      </c>
      <c r="H519" s="8">
        <v>4620.5</v>
      </c>
      <c r="I519" s="8">
        <v>1855.7</v>
      </c>
      <c r="J519" s="133">
        <v>150</v>
      </c>
      <c r="K519" s="8">
        <v>158366868.72</v>
      </c>
      <c r="L519" s="8">
        <v>0</v>
      </c>
      <c r="M519" s="8">
        <v>0</v>
      </c>
      <c r="N519" s="8">
        <v>0</v>
      </c>
      <c r="O519" s="8">
        <v>158366868.72</v>
      </c>
      <c r="P519" s="8">
        <v>0</v>
      </c>
      <c r="Q519" s="8">
        <v>0</v>
      </c>
      <c r="R519" s="133">
        <v>2028</v>
      </c>
      <c r="S519" s="133">
        <v>2028</v>
      </c>
    </row>
    <row r="520" spans="1:19" ht="18.75" customHeight="1">
      <c r="A520" s="76">
        <v>96</v>
      </c>
      <c r="B520" s="124" t="s">
        <v>420</v>
      </c>
      <c r="C520" s="95">
        <v>1949</v>
      </c>
      <c r="D520" s="76" t="s">
        <v>75</v>
      </c>
      <c r="E520" s="95">
        <v>2</v>
      </c>
      <c r="F520" s="95">
        <v>1</v>
      </c>
      <c r="G520" s="8">
        <v>396.5</v>
      </c>
      <c r="H520" s="8">
        <v>363.4</v>
      </c>
      <c r="I520" s="8">
        <f>H520-128.8</f>
        <v>234.59999999999997</v>
      </c>
      <c r="J520" s="133">
        <v>27</v>
      </c>
      <c r="K520" s="8">
        <v>2580898.3899999997</v>
      </c>
      <c r="L520" s="8">
        <v>0</v>
      </c>
      <c r="M520" s="8">
        <v>0</v>
      </c>
      <c r="N520" s="8">
        <v>1757581.51</v>
      </c>
      <c r="O520" s="8">
        <f>649968.85+173348.03</f>
        <v>823316.88</v>
      </c>
      <c r="P520" s="8">
        <v>0</v>
      </c>
      <c r="Q520" s="8">
        <v>0</v>
      </c>
      <c r="R520" s="133">
        <v>2028</v>
      </c>
      <c r="S520" s="133">
        <v>2028</v>
      </c>
    </row>
    <row r="521" spans="1:19" ht="18.75" customHeight="1">
      <c r="A521" s="76">
        <v>97</v>
      </c>
      <c r="B521" s="124" t="s">
        <v>421</v>
      </c>
      <c r="C521" s="95">
        <v>1965</v>
      </c>
      <c r="D521" s="76" t="s">
        <v>75</v>
      </c>
      <c r="E521" s="95">
        <v>5</v>
      </c>
      <c r="F521" s="95">
        <v>2</v>
      </c>
      <c r="G521" s="8">
        <v>1733.2</v>
      </c>
      <c r="H521" s="8">
        <f>1449+160.2</f>
        <v>1609.2</v>
      </c>
      <c r="I521" s="8">
        <v>1523.3</v>
      </c>
      <c r="J521" s="133">
        <v>68</v>
      </c>
      <c r="K521" s="8">
        <v>2699323.9000000004</v>
      </c>
      <c r="L521" s="8">
        <v>0</v>
      </c>
      <c r="M521" s="8">
        <v>0</v>
      </c>
      <c r="N521" s="8">
        <v>2699323.9000000004</v>
      </c>
      <c r="O521" s="8">
        <v>0</v>
      </c>
      <c r="P521" s="8">
        <v>0</v>
      </c>
      <c r="Q521" s="8">
        <v>0</v>
      </c>
      <c r="R521" s="133">
        <v>2028</v>
      </c>
      <c r="S521" s="133">
        <v>2028</v>
      </c>
    </row>
    <row r="522" spans="1:19" ht="18.75" customHeight="1">
      <c r="A522" s="76">
        <v>98</v>
      </c>
      <c r="B522" s="124" t="s">
        <v>422</v>
      </c>
      <c r="C522" s="95">
        <v>1973</v>
      </c>
      <c r="D522" s="76" t="s">
        <v>75</v>
      </c>
      <c r="E522" s="95">
        <v>5</v>
      </c>
      <c r="F522" s="95">
        <v>2</v>
      </c>
      <c r="G522" s="8">
        <v>1953.1</v>
      </c>
      <c r="H522" s="8">
        <v>1763.3</v>
      </c>
      <c r="I522" s="8">
        <f>H522-226</f>
        <v>1537.3</v>
      </c>
      <c r="J522" s="133">
        <v>84</v>
      </c>
      <c r="K522" s="8">
        <v>4441579.55</v>
      </c>
      <c r="L522" s="8">
        <v>0</v>
      </c>
      <c r="M522" s="8">
        <v>0</v>
      </c>
      <c r="N522" s="8">
        <v>1429384.58</v>
      </c>
      <c r="O522" s="8">
        <v>3012194.97</v>
      </c>
      <c r="P522" s="8">
        <v>0</v>
      </c>
      <c r="Q522" s="8">
        <v>0</v>
      </c>
      <c r="R522" s="133">
        <v>2028</v>
      </c>
      <c r="S522" s="133">
        <v>2028</v>
      </c>
    </row>
    <row r="523" spans="1:19" ht="18.75" customHeight="1">
      <c r="A523" s="76">
        <v>99</v>
      </c>
      <c r="B523" s="124" t="s">
        <v>423</v>
      </c>
      <c r="C523" s="95">
        <v>1971</v>
      </c>
      <c r="D523" s="76" t="s">
        <v>75</v>
      </c>
      <c r="E523" s="95">
        <v>2</v>
      </c>
      <c r="F523" s="95">
        <v>2</v>
      </c>
      <c r="G523" s="8">
        <v>795.8</v>
      </c>
      <c r="H523" s="8">
        <v>738.2</v>
      </c>
      <c r="I523" s="8">
        <v>711.1</v>
      </c>
      <c r="J523" s="133">
        <v>39</v>
      </c>
      <c r="K523" s="8">
        <v>464004</v>
      </c>
      <c r="L523" s="8">
        <v>0</v>
      </c>
      <c r="M523" s="8">
        <v>0</v>
      </c>
      <c r="N523" s="8">
        <v>464004</v>
      </c>
      <c r="O523" s="8">
        <v>0</v>
      </c>
      <c r="P523" s="8">
        <v>0</v>
      </c>
      <c r="Q523" s="8">
        <v>0</v>
      </c>
      <c r="R523" s="133">
        <v>2028</v>
      </c>
      <c r="S523" s="133">
        <v>2028</v>
      </c>
    </row>
    <row r="524" spans="1:19" ht="18.75" customHeight="1">
      <c r="A524" s="76">
        <v>100</v>
      </c>
      <c r="B524" s="124" t="s">
        <v>424</v>
      </c>
      <c r="C524" s="95">
        <v>1980</v>
      </c>
      <c r="D524" s="95" t="s">
        <v>77</v>
      </c>
      <c r="E524" s="95">
        <v>9</v>
      </c>
      <c r="F524" s="95">
        <v>1</v>
      </c>
      <c r="G524" s="8">
        <v>2184.9</v>
      </c>
      <c r="H524" s="8">
        <v>1942.7</v>
      </c>
      <c r="I524" s="8">
        <v>1942.7</v>
      </c>
      <c r="J524" s="133">
        <v>66</v>
      </c>
      <c r="K524" s="8">
        <v>20753298.73</v>
      </c>
      <c r="L524" s="8">
        <v>0</v>
      </c>
      <c r="M524" s="8">
        <v>0</v>
      </c>
      <c r="N524" s="8">
        <f>K524-O524</f>
        <v>17515948.100000001</v>
      </c>
      <c r="O524" s="8">
        <f>3237350.63</f>
        <v>3237350.63</v>
      </c>
      <c r="P524" s="8">
        <v>0</v>
      </c>
      <c r="Q524" s="8">
        <v>0</v>
      </c>
      <c r="R524" s="133">
        <v>2028</v>
      </c>
      <c r="S524" s="133">
        <v>2028</v>
      </c>
    </row>
    <row r="525" spans="1:19" ht="18.75" customHeight="1">
      <c r="A525" s="76">
        <v>101</v>
      </c>
      <c r="B525" s="124" t="s">
        <v>338</v>
      </c>
      <c r="C525" s="95">
        <v>1979</v>
      </c>
      <c r="D525" s="95" t="s">
        <v>77</v>
      </c>
      <c r="E525" s="95">
        <v>9</v>
      </c>
      <c r="F525" s="95">
        <v>2</v>
      </c>
      <c r="G525" s="8">
        <v>4300.1000000000004</v>
      </c>
      <c r="H525" s="8">
        <v>3853.5</v>
      </c>
      <c r="I525" s="8">
        <f>3853.5-296.75</f>
        <v>3556.75</v>
      </c>
      <c r="J525" s="133">
        <v>129</v>
      </c>
      <c r="K525" s="8">
        <v>38229950.640000001</v>
      </c>
      <c r="L525" s="8">
        <v>0</v>
      </c>
      <c r="M525" s="8">
        <v>0</v>
      </c>
      <c r="N525" s="8">
        <f>K525-O525</f>
        <v>31988408.100000001</v>
      </c>
      <c r="O525" s="8">
        <v>6241542.54</v>
      </c>
      <c r="P525" s="8">
        <v>0</v>
      </c>
      <c r="Q525" s="8">
        <v>0</v>
      </c>
      <c r="R525" s="133">
        <v>2028</v>
      </c>
      <c r="S525" s="133">
        <v>2028</v>
      </c>
    </row>
    <row r="526" spans="1:19" ht="18.75" customHeight="1">
      <c r="A526" s="76">
        <v>102</v>
      </c>
      <c r="B526" s="124" t="s">
        <v>425</v>
      </c>
      <c r="C526" s="95">
        <v>1980</v>
      </c>
      <c r="D526" s="95" t="s">
        <v>77</v>
      </c>
      <c r="E526" s="95">
        <v>9</v>
      </c>
      <c r="F526" s="95">
        <v>2</v>
      </c>
      <c r="G526" s="8">
        <v>4389.8999999999996</v>
      </c>
      <c r="H526" s="8">
        <v>3906.1</v>
      </c>
      <c r="I526" s="8">
        <v>3749.8</v>
      </c>
      <c r="J526" s="133">
        <v>122</v>
      </c>
      <c r="K526" s="8">
        <v>40216732.0308</v>
      </c>
      <c r="L526" s="8">
        <v>0</v>
      </c>
      <c r="M526" s="8">
        <v>0</v>
      </c>
      <c r="N526" s="8">
        <v>32353755.98</v>
      </c>
      <c r="O526" s="8">
        <v>7862976.0499999998</v>
      </c>
      <c r="P526" s="8">
        <v>0</v>
      </c>
      <c r="Q526" s="8">
        <v>0</v>
      </c>
      <c r="R526" s="133">
        <v>2028</v>
      </c>
      <c r="S526" s="133">
        <v>2028</v>
      </c>
    </row>
    <row r="527" spans="1:19" ht="18.75" customHeight="1">
      <c r="A527" s="76">
        <v>103</v>
      </c>
      <c r="B527" s="124" t="s">
        <v>614</v>
      </c>
      <c r="C527" s="95">
        <v>1974</v>
      </c>
      <c r="D527" s="95" t="s">
        <v>77</v>
      </c>
      <c r="E527" s="95">
        <v>9</v>
      </c>
      <c r="F527" s="95">
        <v>2</v>
      </c>
      <c r="G527" s="8">
        <v>4329.84</v>
      </c>
      <c r="H527" s="8">
        <v>3862.9</v>
      </c>
      <c r="I527" s="8">
        <v>3747</v>
      </c>
      <c r="J527" s="133">
        <v>162</v>
      </c>
      <c r="K527" s="8">
        <v>25740318.270000003</v>
      </c>
      <c r="L527" s="8">
        <v>0</v>
      </c>
      <c r="M527" s="8">
        <v>0</v>
      </c>
      <c r="N527" s="8">
        <v>19435003.949999999</v>
      </c>
      <c r="O527" s="8">
        <v>6305314.3200000003</v>
      </c>
      <c r="P527" s="8">
        <v>0</v>
      </c>
      <c r="Q527" s="8">
        <v>0</v>
      </c>
      <c r="R527" s="133">
        <v>2028</v>
      </c>
      <c r="S527" s="133">
        <v>2028</v>
      </c>
    </row>
    <row r="528" spans="1:19" ht="18.75" customHeight="1">
      <c r="A528" s="76">
        <v>104</v>
      </c>
      <c r="B528" s="124" t="s">
        <v>426</v>
      </c>
      <c r="C528" s="95">
        <v>1949</v>
      </c>
      <c r="D528" s="76" t="s">
        <v>75</v>
      </c>
      <c r="E528" s="95">
        <v>2</v>
      </c>
      <c r="F528" s="95">
        <v>1</v>
      </c>
      <c r="G528" s="8">
        <v>405.9</v>
      </c>
      <c r="H528" s="8">
        <v>372.9</v>
      </c>
      <c r="I528" s="8">
        <f>H528-132.4</f>
        <v>240.49999999999997</v>
      </c>
      <c r="J528" s="133">
        <v>20</v>
      </c>
      <c r="K528" s="8">
        <v>2505907.48</v>
      </c>
      <c r="L528" s="8">
        <v>0</v>
      </c>
      <c r="M528" s="8">
        <v>0</v>
      </c>
      <c r="N528" s="8">
        <v>1855320.85</v>
      </c>
      <c r="O528" s="8">
        <v>650586.63</v>
      </c>
      <c r="P528" s="8">
        <v>0</v>
      </c>
      <c r="Q528" s="8">
        <v>0</v>
      </c>
      <c r="R528" s="133">
        <v>2028</v>
      </c>
      <c r="S528" s="133">
        <v>2028</v>
      </c>
    </row>
    <row r="529" spans="1:19" ht="18.75" customHeight="1">
      <c r="A529" s="76">
        <v>105</v>
      </c>
      <c r="B529" s="124" t="s">
        <v>427</v>
      </c>
      <c r="C529" s="95">
        <v>1949</v>
      </c>
      <c r="D529" s="76" t="s">
        <v>75</v>
      </c>
      <c r="E529" s="95">
        <v>2</v>
      </c>
      <c r="F529" s="95">
        <v>1</v>
      </c>
      <c r="G529" s="8">
        <v>396.2</v>
      </c>
      <c r="H529" s="8">
        <v>363.9</v>
      </c>
      <c r="I529" s="8">
        <v>363.9</v>
      </c>
      <c r="J529" s="133">
        <v>18</v>
      </c>
      <c r="K529" s="1">
        <v>399997.87</v>
      </c>
      <c r="L529" s="8">
        <v>0</v>
      </c>
      <c r="M529" s="8">
        <v>0</v>
      </c>
      <c r="N529" s="1">
        <v>0</v>
      </c>
      <c r="O529" s="1">
        <v>399997.87</v>
      </c>
      <c r="P529" s="8">
        <v>0</v>
      </c>
      <c r="Q529" s="8">
        <v>0</v>
      </c>
      <c r="R529" s="133">
        <v>2028</v>
      </c>
      <c r="S529" s="133">
        <v>2028</v>
      </c>
    </row>
    <row r="530" spans="1:19" ht="18.75" customHeight="1">
      <c r="A530" s="76">
        <v>106</v>
      </c>
      <c r="B530" s="124" t="s">
        <v>615</v>
      </c>
      <c r="C530" s="95">
        <v>1969</v>
      </c>
      <c r="D530" s="95" t="s">
        <v>77</v>
      </c>
      <c r="E530" s="95">
        <v>5</v>
      </c>
      <c r="F530" s="95">
        <v>8</v>
      </c>
      <c r="G530" s="8">
        <v>7630</v>
      </c>
      <c r="H530" s="8">
        <v>5849.3</v>
      </c>
      <c r="I530" s="8">
        <v>5286.4</v>
      </c>
      <c r="J530" s="133">
        <v>341</v>
      </c>
      <c r="K530" s="8">
        <v>14733812.299999999</v>
      </c>
      <c r="L530" s="8">
        <v>0</v>
      </c>
      <c r="M530" s="8">
        <v>0</v>
      </c>
      <c r="N530" s="8">
        <v>4986432.33</v>
      </c>
      <c r="O530" s="8">
        <v>9747379.9700000007</v>
      </c>
      <c r="P530" s="8">
        <v>0</v>
      </c>
      <c r="Q530" s="8">
        <v>0</v>
      </c>
      <c r="R530" s="133">
        <v>2028</v>
      </c>
      <c r="S530" s="133">
        <v>2028</v>
      </c>
    </row>
    <row r="531" spans="1:19" ht="18.75" customHeight="1">
      <c r="A531" s="76">
        <v>107</v>
      </c>
      <c r="B531" s="124" t="s">
        <v>567</v>
      </c>
      <c r="C531" s="95">
        <v>1957</v>
      </c>
      <c r="D531" s="76" t="s">
        <v>75</v>
      </c>
      <c r="E531" s="95">
        <v>4</v>
      </c>
      <c r="F531" s="95">
        <v>3</v>
      </c>
      <c r="G531" s="8">
        <v>3024.8</v>
      </c>
      <c r="H531" s="8">
        <v>2811.92</v>
      </c>
      <c r="I531" s="8">
        <v>2811.92</v>
      </c>
      <c r="J531" s="133">
        <v>144</v>
      </c>
      <c r="K531" s="8">
        <v>12001132.27</v>
      </c>
      <c r="L531" s="8">
        <v>0</v>
      </c>
      <c r="M531" s="8">
        <v>0</v>
      </c>
      <c r="N531" s="8">
        <v>7708037.7599999998</v>
      </c>
      <c r="O531" s="8">
        <v>4293094.51</v>
      </c>
      <c r="P531" s="8">
        <v>0</v>
      </c>
      <c r="Q531" s="8">
        <v>0</v>
      </c>
      <c r="R531" s="133">
        <v>2028</v>
      </c>
      <c r="S531" s="133">
        <v>2028</v>
      </c>
    </row>
    <row r="532" spans="1:19" ht="18.75" customHeight="1">
      <c r="A532" s="76">
        <v>108</v>
      </c>
      <c r="B532" s="124" t="s">
        <v>617</v>
      </c>
      <c r="C532" s="95">
        <v>1978</v>
      </c>
      <c r="D532" s="95" t="s">
        <v>77</v>
      </c>
      <c r="E532" s="95">
        <v>9</v>
      </c>
      <c r="F532" s="95">
        <v>1</v>
      </c>
      <c r="G532" s="8">
        <v>2165.6</v>
      </c>
      <c r="H532" s="8">
        <v>1940.6</v>
      </c>
      <c r="I532" s="8">
        <f>H532-66.5</f>
        <v>1874.1</v>
      </c>
      <c r="J532" s="133">
        <v>286</v>
      </c>
      <c r="K532" s="8">
        <v>2133102.08</v>
      </c>
      <c r="L532" s="8">
        <v>0</v>
      </c>
      <c r="M532" s="8">
        <v>0</v>
      </c>
      <c r="N532" s="8">
        <f>K532</f>
        <v>2133102.08</v>
      </c>
      <c r="O532" s="8">
        <v>0</v>
      </c>
      <c r="P532" s="8">
        <v>0</v>
      </c>
      <c r="Q532" s="8">
        <v>0</v>
      </c>
      <c r="R532" s="133">
        <v>2028</v>
      </c>
      <c r="S532" s="133">
        <v>2028</v>
      </c>
    </row>
    <row r="533" spans="1:19" ht="18.75" customHeight="1">
      <c r="A533" s="76">
        <v>109</v>
      </c>
      <c r="B533" s="124" t="s">
        <v>616</v>
      </c>
      <c r="C533" s="95">
        <v>1965</v>
      </c>
      <c r="D533" s="95" t="s">
        <v>77</v>
      </c>
      <c r="E533" s="95">
        <v>5</v>
      </c>
      <c r="F533" s="95">
        <v>4</v>
      </c>
      <c r="G533" s="8">
        <v>4592.8999999999996</v>
      </c>
      <c r="H533" s="8">
        <v>3564.4</v>
      </c>
      <c r="I533" s="8">
        <v>3518.2</v>
      </c>
      <c r="J533" s="133">
        <v>152</v>
      </c>
      <c r="K533" s="8">
        <v>8978373.5700000003</v>
      </c>
      <c r="L533" s="8">
        <v>0</v>
      </c>
      <c r="M533" s="8">
        <v>0</v>
      </c>
      <c r="N533" s="8">
        <v>3038592.55</v>
      </c>
      <c r="O533" s="8">
        <v>5939781.0199999996</v>
      </c>
      <c r="P533" s="8">
        <v>0</v>
      </c>
      <c r="Q533" s="8">
        <v>0</v>
      </c>
      <c r="R533" s="133">
        <v>2028</v>
      </c>
      <c r="S533" s="133">
        <v>2028</v>
      </c>
    </row>
    <row r="534" spans="1:19" ht="18.75" customHeight="1">
      <c r="A534" s="76">
        <v>110</v>
      </c>
      <c r="B534" s="124" t="s">
        <v>428</v>
      </c>
      <c r="C534" s="95">
        <v>1967</v>
      </c>
      <c r="D534" s="95" t="s">
        <v>75</v>
      </c>
      <c r="E534" s="95">
        <v>5</v>
      </c>
      <c r="F534" s="95">
        <v>2</v>
      </c>
      <c r="G534" s="8">
        <v>1958.2</v>
      </c>
      <c r="H534" s="8">
        <v>1805.9</v>
      </c>
      <c r="I534" s="8">
        <v>1765</v>
      </c>
      <c r="J534" s="133">
        <v>97</v>
      </c>
      <c r="K534" s="8">
        <v>2764682.97</v>
      </c>
      <c r="L534" s="8">
        <v>0</v>
      </c>
      <c r="M534" s="8">
        <v>0</v>
      </c>
      <c r="N534" s="8">
        <v>2764682.97</v>
      </c>
      <c r="O534" s="8">
        <v>0</v>
      </c>
      <c r="P534" s="8">
        <v>0</v>
      </c>
      <c r="Q534" s="8">
        <v>0</v>
      </c>
      <c r="R534" s="133">
        <v>2028</v>
      </c>
      <c r="S534" s="133">
        <v>2028</v>
      </c>
    </row>
    <row r="535" spans="1:19" ht="18.75" customHeight="1">
      <c r="A535" s="76">
        <v>111</v>
      </c>
      <c r="B535" s="124" t="s">
        <v>429</v>
      </c>
      <c r="C535" s="95">
        <v>1948</v>
      </c>
      <c r="D535" s="76" t="s">
        <v>75</v>
      </c>
      <c r="E535" s="95">
        <v>2</v>
      </c>
      <c r="F535" s="95">
        <v>3</v>
      </c>
      <c r="G535" s="8">
        <v>1329.8</v>
      </c>
      <c r="H535" s="8">
        <v>1212.2</v>
      </c>
      <c r="I535" s="8">
        <v>1010.5</v>
      </c>
      <c r="J535" s="133">
        <v>55</v>
      </c>
      <c r="K535" s="8">
        <v>5617145.3300000001</v>
      </c>
      <c r="L535" s="8">
        <v>0</v>
      </c>
      <c r="M535" s="8">
        <v>0</v>
      </c>
      <c r="N535" s="8">
        <v>4457333.42</v>
      </c>
      <c r="O535" s="8">
        <v>1159811.9099999999</v>
      </c>
      <c r="P535" s="8">
        <v>0</v>
      </c>
      <c r="Q535" s="8">
        <v>0</v>
      </c>
      <c r="R535" s="133">
        <v>2028</v>
      </c>
      <c r="S535" s="133">
        <v>2028</v>
      </c>
    </row>
    <row r="536" spans="1:19" ht="18.75" customHeight="1">
      <c r="A536" s="76">
        <v>112</v>
      </c>
      <c r="B536" s="124" t="s">
        <v>430</v>
      </c>
      <c r="C536" s="95">
        <v>1955</v>
      </c>
      <c r="D536" s="76" t="s">
        <v>75</v>
      </c>
      <c r="E536" s="95">
        <v>2</v>
      </c>
      <c r="F536" s="95">
        <v>1</v>
      </c>
      <c r="G536" s="8">
        <v>560</v>
      </c>
      <c r="H536" s="8">
        <v>537.9</v>
      </c>
      <c r="I536" s="8">
        <v>537.9</v>
      </c>
      <c r="J536" s="133">
        <v>21</v>
      </c>
      <c r="K536" s="8">
        <v>2287945.71</v>
      </c>
      <c r="L536" s="8">
        <v>0</v>
      </c>
      <c r="M536" s="8">
        <v>0</v>
      </c>
      <c r="N536" s="8">
        <v>2287945.71</v>
      </c>
      <c r="O536" s="8">
        <v>0</v>
      </c>
      <c r="P536" s="8">
        <v>0</v>
      </c>
      <c r="Q536" s="8">
        <v>0</v>
      </c>
      <c r="R536" s="133">
        <v>2028</v>
      </c>
      <c r="S536" s="133">
        <v>2028</v>
      </c>
    </row>
    <row r="537" spans="1:19" ht="18.75" customHeight="1">
      <c r="A537" s="76">
        <v>113</v>
      </c>
      <c r="B537" s="124" t="s">
        <v>618</v>
      </c>
      <c r="C537" s="95">
        <v>1954</v>
      </c>
      <c r="D537" s="76" t="s">
        <v>75</v>
      </c>
      <c r="E537" s="95">
        <v>3</v>
      </c>
      <c r="F537" s="95">
        <v>3</v>
      </c>
      <c r="G537" s="8">
        <v>2071</v>
      </c>
      <c r="H537" s="8">
        <v>1876.6</v>
      </c>
      <c r="I537" s="8">
        <v>1847</v>
      </c>
      <c r="J537" s="133">
        <v>87</v>
      </c>
      <c r="K537" s="8">
        <v>698093</v>
      </c>
      <c r="L537" s="8">
        <v>0</v>
      </c>
      <c r="M537" s="8">
        <v>0</v>
      </c>
      <c r="N537" s="8">
        <f>K537</f>
        <v>698093</v>
      </c>
      <c r="O537" s="8">
        <v>0</v>
      </c>
      <c r="P537" s="8">
        <v>0</v>
      </c>
      <c r="Q537" s="8">
        <v>0</v>
      </c>
      <c r="R537" s="133">
        <v>2028</v>
      </c>
      <c r="S537" s="133">
        <v>2028</v>
      </c>
    </row>
    <row r="538" spans="1:19" ht="18.75" customHeight="1">
      <c r="A538" s="76">
        <v>114</v>
      </c>
      <c r="B538" s="124" t="s">
        <v>619</v>
      </c>
      <c r="C538" s="95">
        <v>1955</v>
      </c>
      <c r="D538" s="76" t="s">
        <v>75</v>
      </c>
      <c r="E538" s="95">
        <v>4.5</v>
      </c>
      <c r="F538" s="95">
        <v>7</v>
      </c>
      <c r="G538" s="8">
        <v>6608.4</v>
      </c>
      <c r="H538" s="8">
        <v>6434.44</v>
      </c>
      <c r="I538" s="8">
        <v>5003.3999999999996</v>
      </c>
      <c r="J538" s="133">
        <v>137</v>
      </c>
      <c r="K538" s="8">
        <v>27095238.52</v>
      </c>
      <c r="L538" s="8">
        <v>0</v>
      </c>
      <c r="M538" s="8">
        <v>0</v>
      </c>
      <c r="N538" s="8">
        <v>27095238.52</v>
      </c>
      <c r="O538" s="8">
        <v>0</v>
      </c>
      <c r="P538" s="8">
        <v>0</v>
      </c>
      <c r="Q538" s="8">
        <v>0</v>
      </c>
      <c r="R538" s="133">
        <v>2028</v>
      </c>
      <c r="S538" s="133">
        <v>2028</v>
      </c>
    </row>
    <row r="539" spans="1:19" ht="18.75" customHeight="1">
      <c r="A539" s="76">
        <v>115</v>
      </c>
      <c r="B539" s="124" t="s">
        <v>620</v>
      </c>
      <c r="C539" s="95">
        <v>1978</v>
      </c>
      <c r="D539" s="95" t="s">
        <v>77</v>
      </c>
      <c r="E539" s="95">
        <v>9</v>
      </c>
      <c r="F539" s="95">
        <v>1</v>
      </c>
      <c r="G539" s="8">
        <v>1912.7</v>
      </c>
      <c r="H539" s="8">
        <v>1893</v>
      </c>
      <c r="I539" s="8">
        <v>1765.4</v>
      </c>
      <c r="J539" s="133">
        <v>83</v>
      </c>
      <c r="K539" s="8">
        <v>14045704.83</v>
      </c>
      <c r="L539" s="8">
        <v>0</v>
      </c>
      <c r="M539" s="8">
        <v>0</v>
      </c>
      <c r="N539" s="8">
        <v>14045704.83</v>
      </c>
      <c r="O539" s="8">
        <v>0</v>
      </c>
      <c r="P539" s="8">
        <v>0</v>
      </c>
      <c r="Q539" s="8">
        <v>0</v>
      </c>
      <c r="R539" s="133">
        <v>2028</v>
      </c>
      <c r="S539" s="133">
        <v>2028</v>
      </c>
    </row>
    <row r="540" spans="1:19" ht="18.75" customHeight="1">
      <c r="A540" s="76">
        <v>116</v>
      </c>
      <c r="B540" s="124" t="s">
        <v>569</v>
      </c>
      <c r="C540" s="95">
        <v>1979</v>
      </c>
      <c r="D540" s="95" t="s">
        <v>77</v>
      </c>
      <c r="E540" s="95">
        <v>9</v>
      </c>
      <c r="F540" s="95">
        <v>1</v>
      </c>
      <c r="G540" s="8">
        <v>2130.9</v>
      </c>
      <c r="H540" s="8">
        <v>1912.3</v>
      </c>
      <c r="I540" s="8">
        <v>1843.5</v>
      </c>
      <c r="J540" s="133">
        <v>82</v>
      </c>
      <c r="K540" s="8">
        <v>16559001.150000002</v>
      </c>
      <c r="L540" s="8">
        <v>0</v>
      </c>
      <c r="M540" s="8">
        <v>0</v>
      </c>
      <c r="N540" s="8">
        <v>16559001.150000002</v>
      </c>
      <c r="O540" s="8">
        <v>0</v>
      </c>
      <c r="P540" s="8">
        <v>0</v>
      </c>
      <c r="Q540" s="8">
        <v>0</v>
      </c>
      <c r="R540" s="133">
        <v>2028</v>
      </c>
      <c r="S540" s="133">
        <v>2028</v>
      </c>
    </row>
    <row r="541" spans="1:19" ht="18.75" customHeight="1">
      <c r="A541" s="76">
        <v>117</v>
      </c>
      <c r="B541" s="124" t="s">
        <v>431</v>
      </c>
      <c r="C541" s="95">
        <v>1965</v>
      </c>
      <c r="D541" s="95" t="s">
        <v>77</v>
      </c>
      <c r="E541" s="95">
        <v>5</v>
      </c>
      <c r="F541" s="95">
        <v>4</v>
      </c>
      <c r="G541" s="8">
        <v>3829.5</v>
      </c>
      <c r="H541" s="8">
        <v>3561.4</v>
      </c>
      <c r="I541" s="8">
        <v>3472.9</v>
      </c>
      <c r="J541" s="133">
        <v>182</v>
      </c>
      <c r="K541" s="8">
        <v>8970816.8699999992</v>
      </c>
      <c r="L541" s="8">
        <v>0</v>
      </c>
      <c r="M541" s="8">
        <v>0</v>
      </c>
      <c r="N541" s="8">
        <v>3157633.4</v>
      </c>
      <c r="O541" s="8">
        <v>5813183.4699999997</v>
      </c>
      <c r="P541" s="8">
        <v>0</v>
      </c>
      <c r="Q541" s="8">
        <v>0</v>
      </c>
      <c r="R541" s="133">
        <v>2028</v>
      </c>
      <c r="S541" s="133">
        <v>2028</v>
      </c>
    </row>
    <row r="542" spans="1:19" ht="18.75" customHeight="1">
      <c r="A542" s="76">
        <v>118</v>
      </c>
      <c r="B542" s="124" t="s">
        <v>432</v>
      </c>
      <c r="C542" s="95">
        <v>1962</v>
      </c>
      <c r="D542" s="76" t="s">
        <v>75</v>
      </c>
      <c r="E542" s="95">
        <v>4</v>
      </c>
      <c r="F542" s="95">
        <v>4</v>
      </c>
      <c r="G542" s="8">
        <v>2739.6</v>
      </c>
      <c r="H542" s="8">
        <v>2545.6</v>
      </c>
      <c r="I542" s="8">
        <v>2322.4</v>
      </c>
      <c r="J542" s="133">
        <v>142</v>
      </c>
      <c r="K542" s="8">
        <v>25770651.370000001</v>
      </c>
      <c r="L542" s="8">
        <v>0</v>
      </c>
      <c r="M542" s="8">
        <v>0</v>
      </c>
      <c r="N542" s="8">
        <v>0</v>
      </c>
      <c r="O542" s="8">
        <v>25770651.370000001</v>
      </c>
      <c r="P542" s="8">
        <v>0</v>
      </c>
      <c r="Q542" s="8">
        <v>0</v>
      </c>
      <c r="R542" s="133">
        <v>2028</v>
      </c>
      <c r="S542" s="133">
        <v>2028</v>
      </c>
    </row>
    <row r="543" spans="1:19" ht="18.75" customHeight="1">
      <c r="A543" s="76">
        <v>119</v>
      </c>
      <c r="B543" s="124" t="s">
        <v>765</v>
      </c>
      <c r="C543" s="95">
        <v>1961</v>
      </c>
      <c r="D543" s="76" t="s">
        <v>75</v>
      </c>
      <c r="E543" s="95">
        <v>5</v>
      </c>
      <c r="F543" s="95">
        <v>4</v>
      </c>
      <c r="G543" s="8">
        <v>3477.9</v>
      </c>
      <c r="H543" s="8">
        <v>3233.1</v>
      </c>
      <c r="I543" s="8">
        <v>2505</v>
      </c>
      <c r="J543" s="133">
        <v>132</v>
      </c>
      <c r="K543" s="8">
        <v>3699812.86</v>
      </c>
      <c r="L543" s="8">
        <v>0</v>
      </c>
      <c r="M543" s="8">
        <v>0</v>
      </c>
      <c r="N543" s="8">
        <v>3699812.86</v>
      </c>
      <c r="O543" s="8">
        <v>0</v>
      </c>
      <c r="P543" s="8">
        <v>0</v>
      </c>
      <c r="Q543" s="8">
        <v>0</v>
      </c>
      <c r="R543" s="133">
        <v>2028</v>
      </c>
      <c r="S543" s="133">
        <v>2028</v>
      </c>
    </row>
    <row r="544" spans="1:19" ht="18.75" customHeight="1">
      <c r="A544" s="76">
        <v>120</v>
      </c>
      <c r="B544" s="124" t="s">
        <v>766</v>
      </c>
      <c r="C544" s="95">
        <v>1971</v>
      </c>
      <c r="D544" s="95" t="s">
        <v>77</v>
      </c>
      <c r="E544" s="95">
        <v>5</v>
      </c>
      <c r="F544" s="95">
        <v>4</v>
      </c>
      <c r="G544" s="8">
        <v>2727.6</v>
      </c>
      <c r="H544" s="8">
        <v>2701.3</v>
      </c>
      <c r="I544" s="8">
        <v>2596.1</v>
      </c>
      <c r="J544" s="133">
        <v>125</v>
      </c>
      <c r="K544" s="8">
        <v>5175755.8899999997</v>
      </c>
      <c r="L544" s="8">
        <v>0</v>
      </c>
      <c r="M544" s="8">
        <v>0</v>
      </c>
      <c r="N544" s="8">
        <v>5175755.8899999997</v>
      </c>
      <c r="O544" s="8">
        <v>0</v>
      </c>
      <c r="P544" s="8">
        <v>0</v>
      </c>
      <c r="Q544" s="8">
        <v>0</v>
      </c>
      <c r="R544" s="133">
        <v>2028</v>
      </c>
      <c r="S544" s="133">
        <v>2028</v>
      </c>
    </row>
    <row r="545" spans="1:19" ht="18.75" customHeight="1">
      <c r="A545" s="76">
        <v>121</v>
      </c>
      <c r="B545" s="124" t="s">
        <v>433</v>
      </c>
      <c r="C545" s="95">
        <v>1965</v>
      </c>
      <c r="D545" s="76" t="s">
        <v>75</v>
      </c>
      <c r="E545" s="95">
        <v>5</v>
      </c>
      <c r="F545" s="95">
        <v>4</v>
      </c>
      <c r="G545" s="8">
        <v>4229.3999999999996</v>
      </c>
      <c r="H545" s="8">
        <v>3245</v>
      </c>
      <c r="I545" s="8">
        <v>3067.4</v>
      </c>
      <c r="J545" s="133">
        <v>153</v>
      </c>
      <c r="K545" s="8">
        <v>8173836.3399999999</v>
      </c>
      <c r="L545" s="8">
        <v>0</v>
      </c>
      <c r="M545" s="8">
        <v>0</v>
      </c>
      <c r="N545" s="8">
        <v>2877104.34</v>
      </c>
      <c r="O545" s="8">
        <v>5296732</v>
      </c>
      <c r="P545" s="8">
        <v>0</v>
      </c>
      <c r="Q545" s="8">
        <v>0</v>
      </c>
      <c r="R545" s="133">
        <v>2028</v>
      </c>
      <c r="S545" s="133">
        <v>2028</v>
      </c>
    </row>
    <row r="546" spans="1:19" ht="18.75" customHeight="1">
      <c r="A546" s="76">
        <v>122</v>
      </c>
      <c r="B546" s="124" t="s">
        <v>767</v>
      </c>
      <c r="C546" s="95">
        <v>1968</v>
      </c>
      <c r="D546" s="95" t="s">
        <v>77</v>
      </c>
      <c r="E546" s="95">
        <v>5</v>
      </c>
      <c r="F546" s="95">
        <v>6</v>
      </c>
      <c r="G546" s="8">
        <v>5805.5</v>
      </c>
      <c r="H546" s="8">
        <v>4339.3999999999996</v>
      </c>
      <c r="I546" s="8">
        <v>4070.2</v>
      </c>
      <c r="J546" s="133">
        <v>195</v>
      </c>
      <c r="K546" s="8">
        <v>15896334.82</v>
      </c>
      <c r="L546" s="8">
        <v>0</v>
      </c>
      <c r="M546" s="8">
        <v>0</v>
      </c>
      <c r="N546" s="8">
        <v>0</v>
      </c>
      <c r="O546" s="8">
        <f>8813241.55+7083093.27</f>
        <v>15896334.82</v>
      </c>
      <c r="P546" s="8">
        <v>0</v>
      </c>
      <c r="Q546" s="8">
        <v>0</v>
      </c>
      <c r="R546" s="133">
        <v>2028</v>
      </c>
      <c r="S546" s="133">
        <v>2028</v>
      </c>
    </row>
    <row r="547" spans="1:19" ht="18.75" customHeight="1">
      <c r="A547" s="76">
        <v>123</v>
      </c>
      <c r="B547" s="124" t="s">
        <v>621</v>
      </c>
      <c r="C547" s="95">
        <v>1957</v>
      </c>
      <c r="D547" s="76" t="s">
        <v>75</v>
      </c>
      <c r="E547" s="95">
        <v>4</v>
      </c>
      <c r="F547" s="95">
        <v>3</v>
      </c>
      <c r="G547" s="8">
        <v>2220.9</v>
      </c>
      <c r="H547" s="8">
        <v>2220.9</v>
      </c>
      <c r="I547" s="8">
        <v>1800.5</v>
      </c>
      <c r="J547" s="133">
        <v>86</v>
      </c>
      <c r="K547" s="8">
        <v>8036603.6699999999</v>
      </c>
      <c r="L547" s="8">
        <v>0</v>
      </c>
      <c r="M547" s="8">
        <v>0</v>
      </c>
      <c r="N547" s="8">
        <v>0</v>
      </c>
      <c r="O547" s="8">
        <v>8036603.6699999999</v>
      </c>
      <c r="P547" s="8">
        <v>0</v>
      </c>
      <c r="Q547" s="8">
        <v>0</v>
      </c>
      <c r="R547" s="133">
        <v>2028</v>
      </c>
      <c r="S547" s="133">
        <v>2028</v>
      </c>
    </row>
    <row r="548" spans="1:19" ht="18.75" customHeight="1">
      <c r="A548" s="76">
        <v>124</v>
      </c>
      <c r="B548" s="124" t="s">
        <v>434</v>
      </c>
      <c r="C548" s="95">
        <v>1917</v>
      </c>
      <c r="D548" s="76" t="s">
        <v>75</v>
      </c>
      <c r="E548" s="95">
        <v>4</v>
      </c>
      <c r="F548" s="95">
        <v>3</v>
      </c>
      <c r="G548" s="8">
        <v>2581.1999999999998</v>
      </c>
      <c r="H548" s="8">
        <v>2366</v>
      </c>
      <c r="I548" s="8">
        <v>1780.6</v>
      </c>
      <c r="J548" s="133">
        <v>68</v>
      </c>
      <c r="K548" s="8">
        <v>24920281.569999997</v>
      </c>
      <c r="L548" s="8">
        <v>0</v>
      </c>
      <c r="M548" s="8">
        <v>0</v>
      </c>
      <c r="N548" s="8">
        <v>21058319.390000001</v>
      </c>
      <c r="O548" s="8">
        <f>3861962.18</f>
        <v>3861962.18</v>
      </c>
      <c r="P548" s="8">
        <v>0</v>
      </c>
      <c r="Q548" s="8">
        <v>0</v>
      </c>
      <c r="R548" s="133">
        <v>2028</v>
      </c>
      <c r="S548" s="133">
        <v>2028</v>
      </c>
    </row>
    <row r="549" spans="1:19" ht="18.75" customHeight="1">
      <c r="A549" s="76">
        <v>125</v>
      </c>
      <c r="B549" s="124" t="s">
        <v>435</v>
      </c>
      <c r="C549" s="95">
        <v>1950</v>
      </c>
      <c r="D549" s="76" t="s">
        <v>75</v>
      </c>
      <c r="E549" s="95">
        <v>2</v>
      </c>
      <c r="F549" s="95">
        <v>1</v>
      </c>
      <c r="G549" s="8">
        <v>403.1</v>
      </c>
      <c r="H549" s="8">
        <v>371</v>
      </c>
      <c r="I549" s="8">
        <v>371</v>
      </c>
      <c r="J549" s="133">
        <v>16</v>
      </c>
      <c r="K549" s="8">
        <v>424555.56</v>
      </c>
      <c r="L549" s="8">
        <v>0</v>
      </c>
      <c r="M549" s="8">
        <v>0</v>
      </c>
      <c r="N549" s="8">
        <v>424555.56</v>
      </c>
      <c r="O549" s="8">
        <v>0</v>
      </c>
      <c r="P549" s="8">
        <v>0</v>
      </c>
      <c r="Q549" s="8">
        <v>0</v>
      </c>
      <c r="R549" s="133">
        <v>2028</v>
      </c>
      <c r="S549" s="133">
        <v>2028</v>
      </c>
    </row>
    <row r="550" spans="1:19" ht="18.75" customHeight="1">
      <c r="A550" s="76">
        <v>126</v>
      </c>
      <c r="B550" s="124" t="s">
        <v>436</v>
      </c>
      <c r="C550" s="95">
        <v>1966</v>
      </c>
      <c r="D550" s="95" t="s">
        <v>77</v>
      </c>
      <c r="E550" s="95">
        <v>5</v>
      </c>
      <c r="F550" s="95">
        <v>6</v>
      </c>
      <c r="G550" s="8">
        <v>4824.8999999999996</v>
      </c>
      <c r="H550" s="8">
        <v>4363.3</v>
      </c>
      <c r="I550" s="8">
        <v>3893.4</v>
      </c>
      <c r="J550" s="133">
        <v>226</v>
      </c>
      <c r="K550" s="8">
        <v>16328658.08</v>
      </c>
      <c r="L550" s="8">
        <v>0</v>
      </c>
      <c r="M550" s="8">
        <v>0</v>
      </c>
      <c r="N550" s="8">
        <v>16328658.08</v>
      </c>
      <c r="O550" s="8">
        <v>0</v>
      </c>
      <c r="P550" s="8">
        <v>0</v>
      </c>
      <c r="Q550" s="8">
        <v>0</v>
      </c>
      <c r="R550" s="133">
        <v>2028</v>
      </c>
      <c r="S550" s="133">
        <v>2028</v>
      </c>
    </row>
    <row r="551" spans="1:19" ht="18.75" customHeight="1">
      <c r="A551" s="76">
        <v>127</v>
      </c>
      <c r="B551" s="124" t="s">
        <v>622</v>
      </c>
      <c r="C551" s="95">
        <v>1990</v>
      </c>
      <c r="D551" s="95" t="s">
        <v>77</v>
      </c>
      <c r="E551" s="95">
        <v>10</v>
      </c>
      <c r="F551" s="95">
        <v>3</v>
      </c>
      <c r="G551" s="8">
        <v>7874.6</v>
      </c>
      <c r="H551" s="8">
        <v>7119.3</v>
      </c>
      <c r="I551" s="8">
        <v>6937.9</v>
      </c>
      <c r="J551" s="133">
        <v>316</v>
      </c>
      <c r="K551" s="8">
        <v>27373618.790000003</v>
      </c>
      <c r="L551" s="8">
        <v>0</v>
      </c>
      <c r="M551" s="8">
        <v>0</v>
      </c>
      <c r="N551" s="8">
        <v>27373618.790000003</v>
      </c>
      <c r="O551" s="8">
        <v>0</v>
      </c>
      <c r="P551" s="8">
        <v>0</v>
      </c>
      <c r="Q551" s="8">
        <v>0</v>
      </c>
      <c r="R551" s="133">
        <v>2028</v>
      </c>
      <c r="S551" s="133">
        <v>2028</v>
      </c>
    </row>
    <row r="552" spans="1:19" ht="18.75" customHeight="1">
      <c r="A552" s="76">
        <v>128</v>
      </c>
      <c r="B552" s="124" t="s">
        <v>437</v>
      </c>
      <c r="C552" s="95">
        <v>1989</v>
      </c>
      <c r="D552" s="76" t="s">
        <v>75</v>
      </c>
      <c r="E552" s="95">
        <v>9</v>
      </c>
      <c r="F552" s="95">
        <v>1</v>
      </c>
      <c r="G552" s="8">
        <v>4798.8999999999996</v>
      </c>
      <c r="H552" s="8">
        <v>4112.6000000000004</v>
      </c>
      <c r="I552" s="8">
        <v>3139.1</v>
      </c>
      <c r="J552" s="133">
        <v>169</v>
      </c>
      <c r="K552" s="8">
        <v>4706272.7299999995</v>
      </c>
      <c r="L552" s="8">
        <v>0</v>
      </c>
      <c r="M552" s="8">
        <v>0</v>
      </c>
      <c r="N552" s="8">
        <v>4706272.7299999995</v>
      </c>
      <c r="O552" s="8">
        <v>0</v>
      </c>
      <c r="P552" s="8">
        <v>0</v>
      </c>
      <c r="Q552" s="8">
        <v>0</v>
      </c>
      <c r="R552" s="133">
        <v>2028</v>
      </c>
      <c r="S552" s="133">
        <v>2028</v>
      </c>
    </row>
    <row r="553" spans="1:19" ht="18.75" customHeight="1">
      <c r="A553" s="76">
        <v>129</v>
      </c>
      <c r="B553" s="124" t="s">
        <v>438</v>
      </c>
      <c r="C553" s="95">
        <v>1950</v>
      </c>
      <c r="D553" s="95" t="s">
        <v>118</v>
      </c>
      <c r="E553" s="95">
        <v>2</v>
      </c>
      <c r="F553" s="95">
        <v>3</v>
      </c>
      <c r="G553" s="8">
        <v>1313.5</v>
      </c>
      <c r="H553" s="8">
        <v>1198.2</v>
      </c>
      <c r="I553" s="8">
        <v>985.2</v>
      </c>
      <c r="J553" s="133">
        <v>53</v>
      </c>
      <c r="K553" s="8">
        <v>1371051.24</v>
      </c>
      <c r="L553" s="8">
        <v>0</v>
      </c>
      <c r="M553" s="8">
        <v>0</v>
      </c>
      <c r="N553" s="8">
        <v>1371051.24</v>
      </c>
      <c r="O553" s="8">
        <v>0</v>
      </c>
      <c r="P553" s="8">
        <v>0</v>
      </c>
      <c r="Q553" s="8">
        <v>0</v>
      </c>
      <c r="R553" s="133">
        <v>2028</v>
      </c>
      <c r="S553" s="133">
        <v>2028</v>
      </c>
    </row>
    <row r="554" spans="1:19" ht="18.75" customHeight="1">
      <c r="A554" s="76">
        <v>130</v>
      </c>
      <c r="B554" s="124" t="s">
        <v>439</v>
      </c>
      <c r="C554" s="95">
        <v>1949</v>
      </c>
      <c r="D554" s="95" t="s">
        <v>118</v>
      </c>
      <c r="E554" s="95">
        <v>2</v>
      </c>
      <c r="F554" s="95">
        <v>1</v>
      </c>
      <c r="G554" s="8">
        <v>394.4</v>
      </c>
      <c r="H554" s="8">
        <v>362.6</v>
      </c>
      <c r="I554" s="8">
        <v>309.39999999999998</v>
      </c>
      <c r="J554" s="133">
        <v>15</v>
      </c>
      <c r="K554" s="8">
        <v>3139828.39</v>
      </c>
      <c r="L554" s="8">
        <v>0</v>
      </c>
      <c r="M554" s="8">
        <v>0</v>
      </c>
      <c r="N554" s="8">
        <v>3139828.39</v>
      </c>
      <c r="O554" s="8">
        <v>0</v>
      </c>
      <c r="P554" s="8">
        <v>0</v>
      </c>
      <c r="Q554" s="8">
        <v>0</v>
      </c>
      <c r="R554" s="133">
        <v>2028</v>
      </c>
      <c r="S554" s="133">
        <v>2028</v>
      </c>
    </row>
    <row r="555" spans="1:19" ht="18.75" customHeight="1">
      <c r="A555" s="76">
        <v>131</v>
      </c>
      <c r="B555" s="124" t="s">
        <v>623</v>
      </c>
      <c r="C555" s="95">
        <v>1946</v>
      </c>
      <c r="D555" s="76" t="s">
        <v>75</v>
      </c>
      <c r="E555" s="95">
        <v>3</v>
      </c>
      <c r="F555" s="95">
        <v>3</v>
      </c>
      <c r="G555" s="8">
        <v>2002.8</v>
      </c>
      <c r="H555" s="8">
        <v>1847.4</v>
      </c>
      <c r="I555" s="8">
        <v>1294.5999999999999</v>
      </c>
      <c r="J555" s="133">
        <v>34</v>
      </c>
      <c r="K555" s="8">
        <v>2124379.88</v>
      </c>
      <c r="L555" s="8">
        <v>0</v>
      </c>
      <c r="M555" s="8">
        <v>0</v>
      </c>
      <c r="N555" s="8">
        <v>2124379.88</v>
      </c>
      <c r="O555" s="8">
        <v>0</v>
      </c>
      <c r="P555" s="8">
        <v>0</v>
      </c>
      <c r="Q555" s="8">
        <v>0</v>
      </c>
      <c r="R555" s="133">
        <v>2028</v>
      </c>
      <c r="S555" s="133">
        <v>2028</v>
      </c>
    </row>
    <row r="556" spans="1:19" ht="18.75" customHeight="1">
      <c r="A556" s="76">
        <v>132</v>
      </c>
      <c r="B556" s="124" t="s">
        <v>440</v>
      </c>
      <c r="C556" s="95">
        <v>1969</v>
      </c>
      <c r="D556" s="95" t="s">
        <v>77</v>
      </c>
      <c r="E556" s="95">
        <v>5</v>
      </c>
      <c r="F556" s="95">
        <v>3</v>
      </c>
      <c r="G556" s="8">
        <v>2785.4</v>
      </c>
      <c r="H556" s="8">
        <v>2579.1</v>
      </c>
      <c r="I556" s="8">
        <v>2363.5</v>
      </c>
      <c r="J556" s="133">
        <v>124</v>
      </c>
      <c r="K556" s="8">
        <v>17319264.649999999</v>
      </c>
      <c r="L556" s="8">
        <v>0</v>
      </c>
      <c r="M556" s="8">
        <v>0</v>
      </c>
      <c r="N556" s="8">
        <v>17319264.649999999</v>
      </c>
      <c r="O556" s="8">
        <v>0</v>
      </c>
      <c r="P556" s="8">
        <v>0</v>
      </c>
      <c r="Q556" s="8">
        <v>0</v>
      </c>
      <c r="R556" s="133">
        <v>2028</v>
      </c>
      <c r="S556" s="133">
        <v>2028</v>
      </c>
    </row>
    <row r="557" spans="1:19" ht="18.75" customHeight="1">
      <c r="A557" s="76">
        <v>133</v>
      </c>
      <c r="B557" s="124" t="s">
        <v>624</v>
      </c>
      <c r="C557" s="95">
        <v>1959</v>
      </c>
      <c r="D557" s="76" t="s">
        <v>75</v>
      </c>
      <c r="E557" s="95">
        <v>4</v>
      </c>
      <c r="F557" s="95">
        <v>4</v>
      </c>
      <c r="G557" s="8">
        <v>3092.6</v>
      </c>
      <c r="H557" s="8">
        <v>2791.8</v>
      </c>
      <c r="I557" s="8">
        <v>1892.8</v>
      </c>
      <c r="J557" s="133">
        <v>87</v>
      </c>
      <c r="K557" s="8">
        <v>10364582.4</v>
      </c>
      <c r="L557" s="8">
        <v>0</v>
      </c>
      <c r="M557" s="8">
        <v>0</v>
      </c>
      <c r="N557" s="8">
        <v>10364582.4</v>
      </c>
      <c r="O557" s="8">
        <v>0</v>
      </c>
      <c r="P557" s="8">
        <v>0</v>
      </c>
      <c r="Q557" s="8">
        <v>0</v>
      </c>
      <c r="R557" s="133">
        <v>2028</v>
      </c>
      <c r="S557" s="133">
        <v>2028</v>
      </c>
    </row>
    <row r="558" spans="1:19" ht="18.75" customHeight="1">
      <c r="A558" s="76">
        <v>134</v>
      </c>
      <c r="B558" s="124" t="s">
        <v>441</v>
      </c>
      <c r="C558" s="95" t="s">
        <v>358</v>
      </c>
      <c r="D558" s="76" t="s">
        <v>75</v>
      </c>
      <c r="E558" s="95">
        <v>5</v>
      </c>
      <c r="F558" s="95">
        <v>2</v>
      </c>
      <c r="G558" s="8">
        <v>3801.5</v>
      </c>
      <c r="H558" s="8">
        <v>3646.9</v>
      </c>
      <c r="I558" s="8">
        <v>3263.6</v>
      </c>
      <c r="J558" s="133">
        <v>278</v>
      </c>
      <c r="K558" s="8">
        <v>30493468.490000002</v>
      </c>
      <c r="L558" s="8">
        <v>0</v>
      </c>
      <c r="M558" s="8">
        <v>0</v>
      </c>
      <c r="N558" s="8">
        <v>30493468.490000002</v>
      </c>
      <c r="O558" s="8">
        <v>0</v>
      </c>
      <c r="P558" s="8">
        <v>0</v>
      </c>
      <c r="Q558" s="8">
        <v>0</v>
      </c>
      <c r="R558" s="133">
        <v>2028</v>
      </c>
      <c r="S558" s="133">
        <v>2028</v>
      </c>
    </row>
    <row r="559" spans="1:19" ht="18.75" customHeight="1">
      <c r="A559" s="76">
        <v>135</v>
      </c>
      <c r="B559" s="124" t="s">
        <v>768</v>
      </c>
      <c r="C559" s="95">
        <v>1917</v>
      </c>
      <c r="D559" s="76" t="s">
        <v>75</v>
      </c>
      <c r="E559" s="95">
        <v>2</v>
      </c>
      <c r="F559" s="95">
        <v>2</v>
      </c>
      <c r="G559" s="8">
        <v>2529.3000000000002</v>
      </c>
      <c r="H559" s="8">
        <v>1750.8</v>
      </c>
      <c r="I559" s="8">
        <v>399.7</v>
      </c>
      <c r="J559" s="133">
        <v>35</v>
      </c>
      <c r="K559" s="8">
        <v>18690979.270000003</v>
      </c>
      <c r="L559" s="8">
        <v>0</v>
      </c>
      <c r="M559" s="8">
        <v>0</v>
      </c>
      <c r="N559" s="8">
        <v>0</v>
      </c>
      <c r="O559" s="8">
        <v>18690979.27</v>
      </c>
      <c r="P559" s="8">
        <v>0</v>
      </c>
      <c r="Q559" s="8">
        <v>0</v>
      </c>
      <c r="R559" s="133">
        <v>2028</v>
      </c>
      <c r="S559" s="133">
        <v>2028</v>
      </c>
    </row>
    <row r="560" spans="1:19" ht="45.75" customHeight="1">
      <c r="A560" s="158" t="s">
        <v>489</v>
      </c>
      <c r="B560" s="159"/>
      <c r="C560" s="159"/>
      <c r="D560" s="159"/>
      <c r="E560" s="159"/>
      <c r="F560" s="160"/>
      <c r="G560" s="8">
        <f>SUM(G561:G568)</f>
        <v>8154.9999999999991</v>
      </c>
      <c r="H560" s="8">
        <f>SUM(H561:H568)</f>
        <v>7014.8</v>
      </c>
      <c r="I560" s="8">
        <f>SUM(I561:I568)</f>
        <v>5827.8</v>
      </c>
      <c r="J560" s="58">
        <f>SUM(J561:J568)</f>
        <v>284</v>
      </c>
      <c r="K560" s="8">
        <f>SUM(K561:K568)</f>
        <v>24607036.960000001</v>
      </c>
      <c r="L560" s="3">
        <v>0</v>
      </c>
      <c r="M560" s="3">
        <v>0</v>
      </c>
      <c r="N560" s="80">
        <f>SUM(N561:N568)</f>
        <v>17050772.09</v>
      </c>
      <c r="O560" s="80">
        <f>SUM(O561:O568)</f>
        <v>7556264.8699999992</v>
      </c>
      <c r="P560" s="3">
        <v>0</v>
      </c>
      <c r="Q560" s="3">
        <v>0</v>
      </c>
      <c r="R560" s="133" t="s">
        <v>52</v>
      </c>
      <c r="S560" s="133" t="s">
        <v>52</v>
      </c>
    </row>
    <row r="561" spans="1:19" ht="18.75" customHeight="1">
      <c r="A561" s="76">
        <v>136</v>
      </c>
      <c r="B561" s="121" t="s">
        <v>60</v>
      </c>
      <c r="C561" s="95">
        <v>1969</v>
      </c>
      <c r="D561" s="95" t="s">
        <v>75</v>
      </c>
      <c r="E561" s="95">
        <v>3</v>
      </c>
      <c r="F561" s="95">
        <v>3</v>
      </c>
      <c r="G561" s="5">
        <v>1516.6</v>
      </c>
      <c r="H561" s="5">
        <v>1516.6</v>
      </c>
      <c r="I561" s="5">
        <v>1448.5</v>
      </c>
      <c r="J561" s="15">
        <v>60</v>
      </c>
      <c r="K561" s="5">
        <f>L561+M561+N561+O561+P561+Q561</f>
        <v>6099848.7300000004</v>
      </c>
      <c r="L561" s="3">
        <v>0</v>
      </c>
      <c r="M561" s="3">
        <v>0</v>
      </c>
      <c r="N561" s="5">
        <v>2939370.25</v>
      </c>
      <c r="O561" s="72">
        <v>3160478.48</v>
      </c>
      <c r="P561" s="3">
        <v>0</v>
      </c>
      <c r="Q561" s="3">
        <v>0</v>
      </c>
      <c r="R561" s="133">
        <v>2021</v>
      </c>
      <c r="S561" s="133">
        <v>2026</v>
      </c>
    </row>
    <row r="562" spans="1:19" ht="18.75" customHeight="1">
      <c r="A562" s="76">
        <v>137</v>
      </c>
      <c r="B562" s="121" t="s">
        <v>61</v>
      </c>
      <c r="C562" s="95">
        <v>1969</v>
      </c>
      <c r="D562" s="95" t="s">
        <v>75</v>
      </c>
      <c r="E562" s="95">
        <v>5</v>
      </c>
      <c r="F562" s="95">
        <v>4</v>
      </c>
      <c r="G562" s="5">
        <v>3440.1</v>
      </c>
      <c r="H562" s="5">
        <v>3182.2</v>
      </c>
      <c r="I562" s="5">
        <v>2326.6999999999998</v>
      </c>
      <c r="J562" s="15">
        <v>110</v>
      </c>
      <c r="K562" s="5">
        <f>SUM(L562:Q562)</f>
        <v>2617852.0699999998</v>
      </c>
      <c r="L562" s="3">
        <v>0</v>
      </c>
      <c r="M562" s="3">
        <v>0</v>
      </c>
      <c r="N562" s="5">
        <v>2617852.0699999998</v>
      </c>
      <c r="O562" s="3">
        <v>0</v>
      </c>
      <c r="P562" s="3">
        <v>0</v>
      </c>
      <c r="Q562" s="3">
        <v>0</v>
      </c>
      <c r="R562" s="133">
        <v>2016</v>
      </c>
      <c r="S562" s="133">
        <v>2026</v>
      </c>
    </row>
    <row r="563" spans="1:19" ht="18.75" customHeight="1">
      <c r="A563" s="76">
        <v>138</v>
      </c>
      <c r="B563" s="121" t="s">
        <v>62</v>
      </c>
      <c r="C563" s="95">
        <v>1956</v>
      </c>
      <c r="D563" s="95" t="s">
        <v>75</v>
      </c>
      <c r="E563" s="95">
        <v>2</v>
      </c>
      <c r="F563" s="95">
        <v>1</v>
      </c>
      <c r="G563" s="3">
        <v>267.3</v>
      </c>
      <c r="H563" s="3">
        <v>221.1</v>
      </c>
      <c r="I563" s="8">
        <v>151.5</v>
      </c>
      <c r="J563" s="15">
        <v>12</v>
      </c>
      <c r="K563" s="5">
        <v>1522498.75</v>
      </c>
      <c r="L563" s="3">
        <v>0</v>
      </c>
      <c r="M563" s="3">
        <v>0</v>
      </c>
      <c r="N563" s="5">
        <v>1522498.75</v>
      </c>
      <c r="O563" s="3">
        <v>0</v>
      </c>
      <c r="P563" s="3">
        <v>0</v>
      </c>
      <c r="Q563" s="3">
        <v>0</v>
      </c>
      <c r="R563" s="133">
        <v>2019</v>
      </c>
      <c r="S563" s="133">
        <v>2026</v>
      </c>
    </row>
    <row r="564" spans="1:19" ht="18.75" customHeight="1">
      <c r="A564" s="76">
        <v>139</v>
      </c>
      <c r="B564" s="121" t="s">
        <v>63</v>
      </c>
      <c r="C564" s="95">
        <v>1956</v>
      </c>
      <c r="D564" s="95" t="s">
        <v>75</v>
      </c>
      <c r="E564" s="95">
        <v>2</v>
      </c>
      <c r="F564" s="95">
        <v>2</v>
      </c>
      <c r="G564" s="3">
        <v>928.4</v>
      </c>
      <c r="H564" s="3">
        <v>798.1</v>
      </c>
      <c r="I564" s="8">
        <v>694.3</v>
      </c>
      <c r="J564" s="15">
        <v>25</v>
      </c>
      <c r="K564" s="5">
        <f>SUM(L564:Q564)</f>
        <v>8647366.75</v>
      </c>
      <c r="L564" s="3">
        <v>0</v>
      </c>
      <c r="M564" s="3">
        <v>0</v>
      </c>
      <c r="N564" s="5">
        <v>4251580.3600000003</v>
      </c>
      <c r="O564" s="72">
        <v>4395786.3899999997</v>
      </c>
      <c r="P564" s="3">
        <v>0</v>
      </c>
      <c r="Q564" s="3">
        <v>0</v>
      </c>
      <c r="R564" s="133">
        <v>2021</v>
      </c>
      <c r="S564" s="133">
        <v>2026</v>
      </c>
    </row>
    <row r="565" spans="1:19" ht="18.75" customHeight="1">
      <c r="A565" s="76">
        <v>140</v>
      </c>
      <c r="B565" s="121" t="s">
        <v>64</v>
      </c>
      <c r="C565" s="95">
        <v>1917</v>
      </c>
      <c r="D565" s="95" t="s">
        <v>75</v>
      </c>
      <c r="E565" s="95">
        <v>2</v>
      </c>
      <c r="F565" s="95">
        <v>2</v>
      </c>
      <c r="G565" s="3">
        <v>552.5</v>
      </c>
      <c r="H565" s="3">
        <v>289.2</v>
      </c>
      <c r="I565" s="8">
        <v>261</v>
      </c>
      <c r="J565" s="15">
        <v>24</v>
      </c>
      <c r="K565" s="5">
        <f>L565+M565+N565+O565+P565+Q565</f>
        <v>381544.23</v>
      </c>
      <c r="L565" s="3">
        <v>0</v>
      </c>
      <c r="M565" s="3">
        <v>0</v>
      </c>
      <c r="N565" s="5">
        <v>381544.23</v>
      </c>
      <c r="O565" s="3">
        <v>0</v>
      </c>
      <c r="P565" s="3">
        <v>0</v>
      </c>
      <c r="Q565" s="3">
        <v>0</v>
      </c>
      <c r="R565" s="133">
        <v>2021</v>
      </c>
      <c r="S565" s="133">
        <v>2026</v>
      </c>
    </row>
    <row r="566" spans="1:19" ht="18.75" customHeight="1">
      <c r="A566" s="76">
        <v>141</v>
      </c>
      <c r="B566" s="121" t="s">
        <v>65</v>
      </c>
      <c r="C566" s="95">
        <v>1917</v>
      </c>
      <c r="D566" s="95" t="s">
        <v>75</v>
      </c>
      <c r="E566" s="95">
        <v>2</v>
      </c>
      <c r="F566" s="95">
        <v>1</v>
      </c>
      <c r="G566" s="3">
        <v>513.9</v>
      </c>
      <c r="H566" s="3">
        <v>483.1</v>
      </c>
      <c r="I566" s="8">
        <v>449.5</v>
      </c>
      <c r="J566" s="15">
        <v>16</v>
      </c>
      <c r="K566" s="5">
        <f>L566+M566+N566+O566+P566+Q566</f>
        <v>2729100.05</v>
      </c>
      <c r="L566" s="3">
        <v>0</v>
      </c>
      <c r="M566" s="3">
        <v>0</v>
      </c>
      <c r="N566" s="5">
        <v>2729100.05</v>
      </c>
      <c r="O566" s="3">
        <v>0</v>
      </c>
      <c r="P566" s="3">
        <v>0</v>
      </c>
      <c r="Q566" s="3">
        <v>0</v>
      </c>
      <c r="R566" s="133">
        <v>2021</v>
      </c>
      <c r="S566" s="133">
        <v>2026</v>
      </c>
    </row>
    <row r="567" spans="1:19" ht="18.75" customHeight="1">
      <c r="A567" s="76">
        <v>142</v>
      </c>
      <c r="B567" s="121" t="s">
        <v>64</v>
      </c>
      <c r="C567" s="95">
        <v>1917</v>
      </c>
      <c r="D567" s="95" t="s">
        <v>75</v>
      </c>
      <c r="E567" s="95">
        <v>2</v>
      </c>
      <c r="F567" s="95">
        <v>2</v>
      </c>
      <c r="G567" s="3">
        <v>552.5</v>
      </c>
      <c r="H567" s="3">
        <v>289.2</v>
      </c>
      <c r="I567" s="8">
        <v>261</v>
      </c>
      <c r="J567" s="15">
        <v>24</v>
      </c>
      <c r="K567" s="5">
        <v>603654.91</v>
      </c>
      <c r="L567" s="3">
        <v>0</v>
      </c>
      <c r="M567" s="3">
        <v>0</v>
      </c>
      <c r="N567" s="5">
        <v>603654.91</v>
      </c>
      <c r="O567" s="3">
        <v>0</v>
      </c>
      <c r="P567" s="3">
        <v>0</v>
      </c>
      <c r="Q567" s="3">
        <v>0</v>
      </c>
      <c r="R567" s="133">
        <v>2022</v>
      </c>
      <c r="S567" s="133">
        <v>2026</v>
      </c>
    </row>
    <row r="568" spans="1:19" ht="18.75" customHeight="1">
      <c r="A568" s="76">
        <v>143</v>
      </c>
      <c r="B568" s="121" t="s">
        <v>66</v>
      </c>
      <c r="C568" s="95">
        <v>1959</v>
      </c>
      <c r="D568" s="95" t="s">
        <v>75</v>
      </c>
      <c r="E568" s="95">
        <v>2</v>
      </c>
      <c r="F568" s="95">
        <v>1</v>
      </c>
      <c r="G568" s="3">
        <v>383.7</v>
      </c>
      <c r="H568" s="3">
        <v>235.3</v>
      </c>
      <c r="I568" s="8">
        <v>235.3</v>
      </c>
      <c r="J568" s="15">
        <v>13</v>
      </c>
      <c r="K568" s="5">
        <v>2005171.47</v>
      </c>
      <c r="L568" s="3">
        <v>0</v>
      </c>
      <c r="M568" s="3">
        <v>0</v>
      </c>
      <c r="N568" s="5">
        <v>2005171.47</v>
      </c>
      <c r="O568" s="3">
        <v>0</v>
      </c>
      <c r="P568" s="3">
        <v>0</v>
      </c>
      <c r="Q568" s="3">
        <v>0</v>
      </c>
      <c r="R568" s="133">
        <v>2022</v>
      </c>
      <c r="S568" s="133">
        <v>2026</v>
      </c>
    </row>
    <row r="569" spans="1:19" ht="51.75" customHeight="1">
      <c r="A569" s="158" t="s">
        <v>153</v>
      </c>
      <c r="B569" s="159"/>
      <c r="C569" s="159"/>
      <c r="D569" s="159"/>
      <c r="E569" s="159"/>
      <c r="F569" s="160"/>
      <c r="G569" s="8">
        <f t="shared" ref="G569:Q569" si="121">SUM(G570:G579)</f>
        <v>39368.86</v>
      </c>
      <c r="H569" s="8">
        <f t="shared" si="121"/>
        <v>27777.899999999998</v>
      </c>
      <c r="I569" s="8">
        <f t="shared" si="121"/>
        <v>14613.83</v>
      </c>
      <c r="J569" s="58">
        <f t="shared" si="121"/>
        <v>1256</v>
      </c>
      <c r="K569" s="8">
        <f t="shared" si="121"/>
        <v>58425787.539999999</v>
      </c>
      <c r="L569" s="8">
        <f t="shared" si="121"/>
        <v>0</v>
      </c>
      <c r="M569" s="8">
        <f t="shared" si="121"/>
        <v>0</v>
      </c>
      <c r="N569" s="8">
        <f t="shared" si="121"/>
        <v>43957450.559999995</v>
      </c>
      <c r="O569" s="8">
        <f t="shared" si="121"/>
        <v>14468336.98</v>
      </c>
      <c r="P569" s="8">
        <f t="shared" si="121"/>
        <v>0</v>
      </c>
      <c r="Q569" s="8">
        <f t="shared" si="121"/>
        <v>0</v>
      </c>
      <c r="R569" s="133" t="s">
        <v>52</v>
      </c>
      <c r="S569" s="133" t="s">
        <v>52</v>
      </c>
    </row>
    <row r="570" spans="1:19" ht="18.75" customHeight="1">
      <c r="A570" s="76">
        <v>144</v>
      </c>
      <c r="B570" s="121" t="s">
        <v>515</v>
      </c>
      <c r="C570" s="95">
        <v>1966</v>
      </c>
      <c r="D570" s="95" t="s">
        <v>75</v>
      </c>
      <c r="E570" s="95">
        <v>5</v>
      </c>
      <c r="F570" s="95">
        <v>4</v>
      </c>
      <c r="G570" s="8">
        <v>5298</v>
      </c>
      <c r="H570" s="8">
        <v>3567.1</v>
      </c>
      <c r="I570" s="8">
        <v>1608.76</v>
      </c>
      <c r="J570" s="133">
        <v>96</v>
      </c>
      <c r="K570" s="5">
        <f>L570+M570+N570+O570</f>
        <v>2463360.0699999998</v>
      </c>
      <c r="L570" s="3">
        <v>0</v>
      </c>
      <c r="M570" s="3">
        <v>0</v>
      </c>
      <c r="N570" s="5">
        <v>2463360.0699999998</v>
      </c>
      <c r="O570" s="5">
        <v>0</v>
      </c>
      <c r="P570" s="3">
        <v>0</v>
      </c>
      <c r="Q570" s="3">
        <v>0</v>
      </c>
      <c r="R570" s="133">
        <v>2026</v>
      </c>
      <c r="S570" s="133">
        <v>2026</v>
      </c>
    </row>
    <row r="571" spans="1:19" ht="18.75" customHeight="1">
      <c r="A571" s="76">
        <v>145</v>
      </c>
      <c r="B571" s="121" t="s">
        <v>516</v>
      </c>
      <c r="C571" s="95">
        <v>1964</v>
      </c>
      <c r="D571" s="95" t="s">
        <v>75</v>
      </c>
      <c r="E571" s="95">
        <v>5</v>
      </c>
      <c r="F571" s="95">
        <v>4</v>
      </c>
      <c r="G571" s="8">
        <v>5248.9</v>
      </c>
      <c r="H571" s="8">
        <v>3367</v>
      </c>
      <c r="I571" s="8">
        <v>2316.5</v>
      </c>
      <c r="J571" s="133">
        <v>178</v>
      </c>
      <c r="K571" s="5">
        <f t="shared" ref="K571:K579" si="122">L571+M571+N571+O571</f>
        <v>1958042</v>
      </c>
      <c r="L571" s="3">
        <v>0</v>
      </c>
      <c r="M571" s="3">
        <v>0</v>
      </c>
      <c r="N571" s="5">
        <v>1958042</v>
      </c>
      <c r="O571" s="5">
        <v>0</v>
      </c>
      <c r="P571" s="3">
        <v>0</v>
      </c>
      <c r="Q571" s="3">
        <v>0</v>
      </c>
      <c r="R571" s="133">
        <v>2026</v>
      </c>
      <c r="S571" s="133">
        <v>2026</v>
      </c>
    </row>
    <row r="572" spans="1:19" ht="18.75" customHeight="1">
      <c r="A572" s="76">
        <v>146</v>
      </c>
      <c r="B572" s="121" t="s">
        <v>517</v>
      </c>
      <c r="C572" s="95">
        <v>1937</v>
      </c>
      <c r="D572" s="95" t="s">
        <v>75</v>
      </c>
      <c r="E572" s="95">
        <v>5</v>
      </c>
      <c r="F572" s="95">
        <v>4</v>
      </c>
      <c r="G572" s="28">
        <v>3100.5</v>
      </c>
      <c r="H572" s="28">
        <v>2302.1999999999998</v>
      </c>
      <c r="I572" s="8">
        <v>653.79999999999995</v>
      </c>
      <c r="J572" s="133">
        <v>80</v>
      </c>
      <c r="K572" s="5">
        <f t="shared" si="122"/>
        <v>7129266.5999999996</v>
      </c>
      <c r="L572" s="3">
        <v>0</v>
      </c>
      <c r="M572" s="3">
        <v>0</v>
      </c>
      <c r="N572" s="5">
        <v>5805354.9500000002</v>
      </c>
      <c r="O572" s="5">
        <v>1323911.6499999999</v>
      </c>
      <c r="P572" s="3">
        <v>0</v>
      </c>
      <c r="Q572" s="3">
        <v>0</v>
      </c>
      <c r="R572" s="133">
        <v>2026</v>
      </c>
      <c r="S572" s="133">
        <v>2026</v>
      </c>
    </row>
    <row r="573" spans="1:19" ht="18.75" customHeight="1">
      <c r="A573" s="76">
        <v>147</v>
      </c>
      <c r="B573" s="121" t="s">
        <v>518</v>
      </c>
      <c r="C573" s="95">
        <v>1936</v>
      </c>
      <c r="D573" s="95" t="s">
        <v>75</v>
      </c>
      <c r="E573" s="95">
        <v>5</v>
      </c>
      <c r="F573" s="95">
        <v>4</v>
      </c>
      <c r="G573" s="28">
        <v>3206.3</v>
      </c>
      <c r="H573" s="28">
        <v>2598.8000000000002</v>
      </c>
      <c r="I573" s="8">
        <v>1050.8</v>
      </c>
      <c r="J573" s="133">
        <v>76</v>
      </c>
      <c r="K573" s="5">
        <f t="shared" si="122"/>
        <v>7996916.040000001</v>
      </c>
      <c r="L573" s="3">
        <v>0</v>
      </c>
      <c r="M573" s="3">
        <v>0</v>
      </c>
      <c r="N573" s="5">
        <v>4980039.4000000004</v>
      </c>
      <c r="O573" s="5">
        <v>3016876.64</v>
      </c>
      <c r="P573" s="3">
        <v>0</v>
      </c>
      <c r="Q573" s="3">
        <v>0</v>
      </c>
      <c r="R573" s="133">
        <v>2026</v>
      </c>
      <c r="S573" s="133">
        <v>2026</v>
      </c>
    </row>
    <row r="574" spans="1:19" ht="18.75" customHeight="1">
      <c r="A574" s="76">
        <v>148</v>
      </c>
      <c r="B574" s="121" t="s">
        <v>519</v>
      </c>
      <c r="C574" s="95">
        <v>2000</v>
      </c>
      <c r="D574" s="95" t="s">
        <v>231</v>
      </c>
      <c r="E574" s="95">
        <v>2</v>
      </c>
      <c r="F574" s="95">
        <v>1</v>
      </c>
      <c r="G574" s="8">
        <v>1704</v>
      </c>
      <c r="H574" s="8">
        <v>667.4</v>
      </c>
      <c r="I574" s="8">
        <v>356.5</v>
      </c>
      <c r="J574" s="133">
        <v>28</v>
      </c>
      <c r="K574" s="5">
        <f t="shared" si="122"/>
        <v>5709272.46</v>
      </c>
      <c r="L574" s="3">
        <v>0</v>
      </c>
      <c r="M574" s="3">
        <v>0</v>
      </c>
      <c r="N574" s="5">
        <v>5709272.46</v>
      </c>
      <c r="O574" s="5">
        <v>0</v>
      </c>
      <c r="P574" s="3">
        <v>0</v>
      </c>
      <c r="Q574" s="3">
        <v>0</v>
      </c>
      <c r="R574" s="133">
        <v>2023</v>
      </c>
      <c r="S574" s="133">
        <v>2026</v>
      </c>
    </row>
    <row r="575" spans="1:19" ht="18.75" customHeight="1">
      <c r="A575" s="76">
        <v>149</v>
      </c>
      <c r="B575" s="121" t="s">
        <v>520</v>
      </c>
      <c r="C575" s="76">
        <v>1934</v>
      </c>
      <c r="D575" s="95" t="s">
        <v>75</v>
      </c>
      <c r="E575" s="95">
        <v>4</v>
      </c>
      <c r="F575" s="95">
        <v>4</v>
      </c>
      <c r="G575" s="1">
        <v>3398.16</v>
      </c>
      <c r="H575" s="1">
        <v>2544.4</v>
      </c>
      <c r="I575" s="1">
        <v>1442.3</v>
      </c>
      <c r="J575" s="128">
        <v>73</v>
      </c>
      <c r="K575" s="5">
        <v>354533</v>
      </c>
      <c r="L575" s="3">
        <v>0</v>
      </c>
      <c r="M575" s="3">
        <v>0</v>
      </c>
      <c r="N575" s="5">
        <v>354533</v>
      </c>
      <c r="O575" s="5">
        <v>0</v>
      </c>
      <c r="P575" s="3">
        <v>0</v>
      </c>
      <c r="Q575" s="3">
        <v>0</v>
      </c>
      <c r="R575" s="133">
        <v>2026</v>
      </c>
      <c r="S575" s="133">
        <v>2026</v>
      </c>
    </row>
    <row r="576" spans="1:19" ht="18.75" customHeight="1">
      <c r="A576" s="76">
        <v>150</v>
      </c>
      <c r="B576" s="121" t="s">
        <v>521</v>
      </c>
      <c r="C576" s="76">
        <v>1967</v>
      </c>
      <c r="D576" s="76" t="s">
        <v>77</v>
      </c>
      <c r="E576" s="95">
        <v>5</v>
      </c>
      <c r="F576" s="95">
        <v>5</v>
      </c>
      <c r="G576" s="1">
        <v>4774.3999999999996</v>
      </c>
      <c r="H576" s="1">
        <v>3076.1</v>
      </c>
      <c r="I576" s="1">
        <v>1861.04</v>
      </c>
      <c r="J576" s="128">
        <v>162</v>
      </c>
      <c r="K576" s="5">
        <f t="shared" si="122"/>
        <v>7448074.6699999999</v>
      </c>
      <c r="L576" s="3">
        <v>0</v>
      </c>
      <c r="M576" s="3">
        <v>0</v>
      </c>
      <c r="N576" s="5">
        <v>4693140.3</v>
      </c>
      <c r="O576" s="5">
        <v>2754934.37</v>
      </c>
      <c r="P576" s="3">
        <v>0</v>
      </c>
      <c r="Q576" s="3">
        <v>0</v>
      </c>
      <c r="R576" s="133">
        <v>2024</v>
      </c>
      <c r="S576" s="133">
        <v>2026</v>
      </c>
    </row>
    <row r="577" spans="1:19" ht="18.75" customHeight="1">
      <c r="A577" s="76">
        <v>151</v>
      </c>
      <c r="B577" s="121" t="s">
        <v>522</v>
      </c>
      <c r="C577" s="76">
        <v>1968</v>
      </c>
      <c r="D577" s="76" t="s">
        <v>77</v>
      </c>
      <c r="E577" s="95">
        <v>5</v>
      </c>
      <c r="F577" s="95">
        <v>6</v>
      </c>
      <c r="G577" s="1">
        <v>5788.6</v>
      </c>
      <c r="H577" s="1">
        <v>4355.8</v>
      </c>
      <c r="I577" s="1">
        <v>2217.1</v>
      </c>
      <c r="J577" s="128">
        <v>263</v>
      </c>
      <c r="K577" s="5">
        <f t="shared" si="122"/>
        <v>9966078.0399999991</v>
      </c>
      <c r="L577" s="3">
        <v>0</v>
      </c>
      <c r="M577" s="3">
        <v>0</v>
      </c>
      <c r="N577" s="5">
        <v>6279770.8799999999</v>
      </c>
      <c r="O577" s="5">
        <v>3686307.16</v>
      </c>
      <c r="P577" s="3">
        <v>0</v>
      </c>
      <c r="Q577" s="3">
        <v>0</v>
      </c>
      <c r="R577" s="133">
        <v>2024</v>
      </c>
      <c r="S577" s="133">
        <v>2026</v>
      </c>
    </row>
    <row r="578" spans="1:19" ht="18.75" customHeight="1">
      <c r="A578" s="76">
        <v>152</v>
      </c>
      <c r="B578" s="121" t="s">
        <v>523</v>
      </c>
      <c r="C578" s="76">
        <v>1967</v>
      </c>
      <c r="D578" s="76" t="s">
        <v>77</v>
      </c>
      <c r="E578" s="76">
        <v>5</v>
      </c>
      <c r="F578" s="76">
        <v>6</v>
      </c>
      <c r="G578" s="1">
        <v>5774.2</v>
      </c>
      <c r="H578" s="1">
        <v>4340.7</v>
      </c>
      <c r="I578" s="1">
        <v>2339.63</v>
      </c>
      <c r="J578" s="128">
        <v>255</v>
      </c>
      <c r="K578" s="5">
        <f t="shared" si="122"/>
        <v>9966078.0399999991</v>
      </c>
      <c r="L578" s="3">
        <v>0</v>
      </c>
      <c r="M578" s="3">
        <v>0</v>
      </c>
      <c r="N578" s="5">
        <v>6279770.8799999999</v>
      </c>
      <c r="O578" s="5">
        <v>3686307.16</v>
      </c>
      <c r="P578" s="3">
        <v>0</v>
      </c>
      <c r="Q578" s="3">
        <v>0</v>
      </c>
      <c r="R578" s="133">
        <v>2024</v>
      </c>
      <c r="S578" s="133">
        <v>2026</v>
      </c>
    </row>
    <row r="579" spans="1:19" ht="18.75" customHeight="1">
      <c r="A579" s="76">
        <v>153</v>
      </c>
      <c r="B579" s="121" t="s">
        <v>524</v>
      </c>
      <c r="C579" s="76">
        <v>1962</v>
      </c>
      <c r="D579" s="95" t="s">
        <v>75</v>
      </c>
      <c r="E579" s="76">
        <v>3</v>
      </c>
      <c r="F579" s="76">
        <v>2</v>
      </c>
      <c r="G579" s="1">
        <v>1075.8</v>
      </c>
      <c r="H579" s="1">
        <v>958.4</v>
      </c>
      <c r="I579" s="1">
        <v>767.4</v>
      </c>
      <c r="J579" s="128">
        <v>45</v>
      </c>
      <c r="K579" s="5">
        <f t="shared" si="122"/>
        <v>5434166.6200000001</v>
      </c>
      <c r="L579" s="3">
        <v>0</v>
      </c>
      <c r="M579" s="3">
        <v>0</v>
      </c>
      <c r="N579" s="5">
        <v>5434166.6200000001</v>
      </c>
      <c r="O579" s="5">
        <v>0</v>
      </c>
      <c r="P579" s="3">
        <v>0</v>
      </c>
      <c r="Q579" s="3">
        <v>0</v>
      </c>
      <c r="R579" s="133">
        <v>2024</v>
      </c>
      <c r="S579" s="133">
        <v>2026</v>
      </c>
    </row>
    <row r="580" spans="1:19" ht="41.25" customHeight="1">
      <c r="A580" s="158" t="s">
        <v>265</v>
      </c>
      <c r="B580" s="159"/>
      <c r="C580" s="159"/>
      <c r="D580" s="159"/>
      <c r="E580" s="159"/>
      <c r="F580" s="160"/>
      <c r="G580" s="1">
        <f>SUM(G581:G583)</f>
        <v>8052.5999999999995</v>
      </c>
      <c r="H580" s="1">
        <f t="shared" ref="H580:Q580" si="123">SUM(H581:H583)</f>
        <v>6466.2000000000007</v>
      </c>
      <c r="I580" s="1">
        <f t="shared" si="123"/>
        <v>6033.7</v>
      </c>
      <c r="J580" s="16">
        <f t="shared" si="123"/>
        <v>232</v>
      </c>
      <c r="K580" s="1">
        <f t="shared" si="123"/>
        <v>6722387.4000000004</v>
      </c>
      <c r="L580" s="1">
        <f t="shared" si="123"/>
        <v>0</v>
      </c>
      <c r="M580" s="1">
        <f t="shared" si="123"/>
        <v>0</v>
      </c>
      <c r="N580" s="1">
        <f t="shared" si="123"/>
        <v>6722387.4000000004</v>
      </c>
      <c r="O580" s="1">
        <f t="shared" si="123"/>
        <v>0</v>
      </c>
      <c r="P580" s="1">
        <f t="shared" si="123"/>
        <v>0</v>
      </c>
      <c r="Q580" s="1">
        <f t="shared" si="123"/>
        <v>0</v>
      </c>
      <c r="R580" s="133" t="s">
        <v>52</v>
      </c>
      <c r="S580" s="133" t="s">
        <v>52</v>
      </c>
    </row>
    <row r="581" spans="1:19" ht="18.75" customHeight="1">
      <c r="A581" s="76">
        <v>154</v>
      </c>
      <c r="B581" s="121" t="s">
        <v>266</v>
      </c>
      <c r="C581" s="76">
        <v>1962</v>
      </c>
      <c r="D581" s="95" t="s">
        <v>75</v>
      </c>
      <c r="E581" s="76">
        <v>4</v>
      </c>
      <c r="F581" s="76">
        <v>3</v>
      </c>
      <c r="G581" s="1">
        <v>2739.4</v>
      </c>
      <c r="H581" s="1">
        <v>2186</v>
      </c>
      <c r="I581" s="1">
        <v>2042</v>
      </c>
      <c r="J581" s="128">
        <v>79</v>
      </c>
      <c r="K581" s="5">
        <v>2244560.6800000002</v>
      </c>
      <c r="L581" s="3">
        <v>0</v>
      </c>
      <c r="M581" s="3">
        <v>0</v>
      </c>
      <c r="N581" s="5">
        <v>2244560.6800000002</v>
      </c>
      <c r="O581" s="5">
        <v>0</v>
      </c>
      <c r="P581" s="3">
        <v>0</v>
      </c>
      <c r="Q581" s="3">
        <v>0</v>
      </c>
      <c r="R581" s="133">
        <v>2024</v>
      </c>
      <c r="S581" s="133">
        <v>2026</v>
      </c>
    </row>
    <row r="582" spans="1:19" ht="18.75" customHeight="1">
      <c r="A582" s="76">
        <v>155</v>
      </c>
      <c r="B582" s="121" t="s">
        <v>267</v>
      </c>
      <c r="C582" s="76">
        <v>1964</v>
      </c>
      <c r="D582" s="95" t="s">
        <v>75</v>
      </c>
      <c r="E582" s="76">
        <v>4</v>
      </c>
      <c r="F582" s="76">
        <v>3</v>
      </c>
      <c r="G582" s="1">
        <v>2660</v>
      </c>
      <c r="H582" s="1">
        <v>2139.6</v>
      </c>
      <c r="I582" s="1">
        <v>1995.1</v>
      </c>
      <c r="J582" s="128">
        <v>83</v>
      </c>
      <c r="K582" s="5">
        <v>2193008.33</v>
      </c>
      <c r="L582" s="3">
        <v>0</v>
      </c>
      <c r="M582" s="3">
        <v>0</v>
      </c>
      <c r="N582" s="5">
        <v>2193008.33</v>
      </c>
      <c r="O582" s="5">
        <v>0</v>
      </c>
      <c r="P582" s="5">
        <v>0</v>
      </c>
      <c r="Q582" s="5">
        <v>0</v>
      </c>
      <c r="R582" s="133">
        <v>2024</v>
      </c>
      <c r="S582" s="133">
        <v>2026</v>
      </c>
    </row>
    <row r="583" spans="1:19" ht="18.75" customHeight="1">
      <c r="A583" s="76">
        <v>156</v>
      </c>
      <c r="B583" s="121" t="s">
        <v>268</v>
      </c>
      <c r="C583" s="76">
        <v>1966</v>
      </c>
      <c r="D583" s="95" t="s">
        <v>75</v>
      </c>
      <c r="E583" s="76">
        <v>4</v>
      </c>
      <c r="F583" s="76">
        <v>3</v>
      </c>
      <c r="G583" s="1">
        <v>2653.2</v>
      </c>
      <c r="H583" s="1">
        <v>2140.6</v>
      </c>
      <c r="I583" s="1">
        <v>1996.6</v>
      </c>
      <c r="J583" s="128">
        <v>70</v>
      </c>
      <c r="K583" s="5">
        <v>2284818.39</v>
      </c>
      <c r="L583" s="3">
        <v>0</v>
      </c>
      <c r="M583" s="3">
        <v>0</v>
      </c>
      <c r="N583" s="5">
        <v>2284818.39</v>
      </c>
      <c r="O583" s="5">
        <v>0</v>
      </c>
      <c r="P583" s="5">
        <v>0</v>
      </c>
      <c r="Q583" s="5">
        <v>0</v>
      </c>
      <c r="R583" s="133">
        <v>2025</v>
      </c>
      <c r="S583" s="133">
        <v>2026</v>
      </c>
    </row>
    <row r="584" spans="1:19" ht="39.75" customHeight="1">
      <c r="A584" s="158" t="s">
        <v>222</v>
      </c>
      <c r="B584" s="159"/>
      <c r="C584" s="159"/>
      <c r="D584" s="159"/>
      <c r="E584" s="159"/>
      <c r="F584" s="160"/>
      <c r="G584" s="1">
        <f t="shared" ref="G584:Q584" si="124">SUM(G585:G588)</f>
        <v>1562.7999999999997</v>
      </c>
      <c r="H584" s="1">
        <f t="shared" si="124"/>
        <v>1367.9</v>
      </c>
      <c r="I584" s="1">
        <f t="shared" si="124"/>
        <v>1248.0999999999999</v>
      </c>
      <c r="J584" s="16">
        <f t="shared" si="124"/>
        <v>55</v>
      </c>
      <c r="K584" s="1">
        <f t="shared" si="124"/>
        <v>8430904.8399999999</v>
      </c>
      <c r="L584" s="1">
        <f t="shared" si="124"/>
        <v>0</v>
      </c>
      <c r="M584" s="1">
        <f t="shared" si="124"/>
        <v>0</v>
      </c>
      <c r="N584" s="1">
        <f t="shared" si="124"/>
        <v>8430904.8399999999</v>
      </c>
      <c r="O584" s="1">
        <f t="shared" si="124"/>
        <v>0</v>
      </c>
      <c r="P584" s="1">
        <f t="shared" si="124"/>
        <v>0</v>
      </c>
      <c r="Q584" s="1">
        <f t="shared" si="124"/>
        <v>0</v>
      </c>
      <c r="R584" s="133" t="s">
        <v>52</v>
      </c>
      <c r="S584" s="133" t="s">
        <v>52</v>
      </c>
    </row>
    <row r="585" spans="1:19" ht="18.75" customHeight="1">
      <c r="A585" s="76">
        <v>157</v>
      </c>
      <c r="B585" s="121" t="s">
        <v>769</v>
      </c>
      <c r="C585" s="76">
        <v>1969</v>
      </c>
      <c r="D585" s="95" t="s">
        <v>75</v>
      </c>
      <c r="E585" s="76">
        <v>2</v>
      </c>
      <c r="F585" s="76">
        <v>1</v>
      </c>
      <c r="G585" s="2">
        <v>363.6</v>
      </c>
      <c r="H585" s="2">
        <v>336</v>
      </c>
      <c r="I585" s="2">
        <v>336</v>
      </c>
      <c r="J585" s="128">
        <v>10</v>
      </c>
      <c r="K585" s="8">
        <v>2306854.69</v>
      </c>
      <c r="L585" s="8">
        <v>0</v>
      </c>
      <c r="M585" s="8">
        <v>0</v>
      </c>
      <c r="N585" s="8">
        <v>2306854.69</v>
      </c>
      <c r="O585" s="8">
        <v>0</v>
      </c>
      <c r="P585" s="8">
        <v>0</v>
      </c>
      <c r="Q585" s="8">
        <v>0</v>
      </c>
      <c r="R585" s="128">
        <v>2026</v>
      </c>
      <c r="S585" s="128">
        <v>2026</v>
      </c>
    </row>
    <row r="586" spans="1:19" ht="18.75" customHeight="1">
      <c r="A586" s="76">
        <v>158</v>
      </c>
      <c r="B586" s="121" t="s">
        <v>770</v>
      </c>
      <c r="C586" s="76">
        <v>1972</v>
      </c>
      <c r="D586" s="76" t="s">
        <v>77</v>
      </c>
      <c r="E586" s="76">
        <v>2</v>
      </c>
      <c r="F586" s="76">
        <v>1</v>
      </c>
      <c r="G586" s="2">
        <v>435.2</v>
      </c>
      <c r="H586" s="2">
        <v>351.1</v>
      </c>
      <c r="I586" s="2">
        <v>351.1</v>
      </c>
      <c r="J586" s="128">
        <v>8</v>
      </c>
      <c r="K586" s="1">
        <v>2027083.52</v>
      </c>
      <c r="L586" s="2">
        <v>0</v>
      </c>
      <c r="M586" s="1">
        <v>0</v>
      </c>
      <c r="N586" s="1">
        <v>2027083.52</v>
      </c>
      <c r="O586" s="2">
        <v>0</v>
      </c>
      <c r="P586" s="1">
        <v>0</v>
      </c>
      <c r="Q586" s="1">
        <v>0</v>
      </c>
      <c r="R586" s="128">
        <v>2026</v>
      </c>
      <c r="S586" s="128">
        <v>2026</v>
      </c>
    </row>
    <row r="587" spans="1:19" ht="18.75" customHeight="1">
      <c r="A587" s="76">
        <v>159</v>
      </c>
      <c r="B587" s="121" t="s">
        <v>223</v>
      </c>
      <c r="C587" s="76">
        <v>1970</v>
      </c>
      <c r="D587" s="95" t="s">
        <v>75</v>
      </c>
      <c r="E587" s="76">
        <v>2</v>
      </c>
      <c r="F587" s="76">
        <v>2</v>
      </c>
      <c r="G587" s="2">
        <v>421.4</v>
      </c>
      <c r="H587" s="2">
        <v>373.4</v>
      </c>
      <c r="I587" s="2">
        <v>323.7</v>
      </c>
      <c r="J587" s="128">
        <v>22</v>
      </c>
      <c r="K587" s="1">
        <v>1679437.55</v>
      </c>
      <c r="L587" s="2">
        <v>0</v>
      </c>
      <c r="M587" s="1">
        <v>0</v>
      </c>
      <c r="N587" s="1">
        <v>1679437.55</v>
      </c>
      <c r="O587" s="2">
        <v>0</v>
      </c>
      <c r="P587" s="1">
        <v>0</v>
      </c>
      <c r="Q587" s="1">
        <v>0</v>
      </c>
      <c r="R587" s="128">
        <v>2020</v>
      </c>
      <c r="S587" s="128">
        <v>2026</v>
      </c>
    </row>
    <row r="588" spans="1:19" ht="18.75" customHeight="1">
      <c r="A588" s="76">
        <v>160</v>
      </c>
      <c r="B588" s="121" t="s">
        <v>224</v>
      </c>
      <c r="C588" s="76">
        <v>1962</v>
      </c>
      <c r="D588" s="95" t="s">
        <v>75</v>
      </c>
      <c r="E588" s="76">
        <v>2</v>
      </c>
      <c r="F588" s="76">
        <v>1</v>
      </c>
      <c r="G588" s="2">
        <v>342.6</v>
      </c>
      <c r="H588" s="2">
        <v>307.39999999999998</v>
      </c>
      <c r="I588" s="2">
        <v>237.3</v>
      </c>
      <c r="J588" s="128">
        <v>15</v>
      </c>
      <c r="K588" s="1">
        <v>2417529.08</v>
      </c>
      <c r="L588" s="1">
        <v>0</v>
      </c>
      <c r="M588" s="1">
        <v>0</v>
      </c>
      <c r="N588" s="1">
        <v>2417529.08</v>
      </c>
      <c r="O588" s="1">
        <v>0</v>
      </c>
      <c r="P588" s="1">
        <v>0</v>
      </c>
      <c r="Q588" s="1">
        <v>0</v>
      </c>
      <c r="R588" s="128">
        <v>2016</v>
      </c>
      <c r="S588" s="128">
        <v>2026</v>
      </c>
    </row>
    <row r="589" spans="1:19" ht="45.75" customHeight="1">
      <c r="A589" s="158" t="s">
        <v>130</v>
      </c>
      <c r="B589" s="159"/>
      <c r="C589" s="159"/>
      <c r="D589" s="159"/>
      <c r="E589" s="159"/>
      <c r="F589" s="160"/>
      <c r="G589" s="1">
        <f>SUM(G590:G594)</f>
        <v>5257</v>
      </c>
      <c r="H589" s="1">
        <f t="shared" ref="H589:N589" si="125">SUM(H590:H594)</f>
        <v>4865.2999999999993</v>
      </c>
      <c r="I589" s="1">
        <f t="shared" si="125"/>
        <v>4487.2</v>
      </c>
      <c r="J589" s="15">
        <f t="shared" si="125"/>
        <v>196</v>
      </c>
      <c r="K589" s="1">
        <f t="shared" si="125"/>
        <v>19476169</v>
      </c>
      <c r="L589" s="3">
        <v>0</v>
      </c>
      <c r="M589" s="3">
        <v>0</v>
      </c>
      <c r="N589" s="80">
        <f t="shared" si="125"/>
        <v>19476169</v>
      </c>
      <c r="O589" s="3">
        <v>0</v>
      </c>
      <c r="P589" s="3">
        <v>0</v>
      </c>
      <c r="Q589" s="3">
        <v>0</v>
      </c>
      <c r="R589" s="133" t="s">
        <v>52</v>
      </c>
      <c r="S589" s="133" t="s">
        <v>52</v>
      </c>
    </row>
    <row r="590" spans="1:19" ht="18.75" customHeight="1">
      <c r="A590" s="76">
        <v>161</v>
      </c>
      <c r="B590" s="67" t="s">
        <v>133</v>
      </c>
      <c r="C590" s="66">
        <v>1956</v>
      </c>
      <c r="D590" s="66" t="s">
        <v>75</v>
      </c>
      <c r="E590" s="66">
        <v>2</v>
      </c>
      <c r="F590" s="66">
        <v>1</v>
      </c>
      <c r="G590" s="1">
        <v>960</v>
      </c>
      <c r="H590" s="1">
        <v>572.1</v>
      </c>
      <c r="I590" s="1">
        <v>375.8</v>
      </c>
      <c r="J590" s="15">
        <v>40</v>
      </c>
      <c r="K590" s="1">
        <v>873523.9</v>
      </c>
      <c r="L590" s="3">
        <v>0</v>
      </c>
      <c r="M590" s="3">
        <v>0</v>
      </c>
      <c r="N590" s="1">
        <v>873523.9</v>
      </c>
      <c r="O590" s="3">
        <v>0</v>
      </c>
      <c r="P590" s="3">
        <v>0</v>
      </c>
      <c r="Q590" s="3">
        <v>0</v>
      </c>
      <c r="R590" s="68">
        <v>2018</v>
      </c>
      <c r="S590" s="68">
        <v>2026</v>
      </c>
    </row>
    <row r="591" spans="1:19" ht="18.75" customHeight="1">
      <c r="A591" s="76">
        <v>162</v>
      </c>
      <c r="B591" s="67" t="s">
        <v>134</v>
      </c>
      <c r="C591" s="66">
        <v>1955</v>
      </c>
      <c r="D591" s="66" t="s">
        <v>75</v>
      </c>
      <c r="E591" s="66">
        <v>2</v>
      </c>
      <c r="F591" s="66">
        <v>1</v>
      </c>
      <c r="G591" s="1">
        <v>606</v>
      </c>
      <c r="H591" s="1">
        <v>606</v>
      </c>
      <c r="I591" s="1">
        <v>605</v>
      </c>
      <c r="J591" s="15">
        <v>17</v>
      </c>
      <c r="K591" s="1">
        <v>634075.98</v>
      </c>
      <c r="L591" s="3">
        <v>0</v>
      </c>
      <c r="M591" s="3">
        <v>0</v>
      </c>
      <c r="N591" s="1">
        <v>634075.98</v>
      </c>
      <c r="O591" s="3">
        <v>0</v>
      </c>
      <c r="P591" s="3">
        <v>0</v>
      </c>
      <c r="Q591" s="3">
        <v>0</v>
      </c>
      <c r="R591" s="68">
        <v>2020</v>
      </c>
      <c r="S591" s="68">
        <v>2026</v>
      </c>
    </row>
    <row r="592" spans="1:19" ht="18.75" customHeight="1">
      <c r="A592" s="76">
        <v>163</v>
      </c>
      <c r="B592" s="69" t="s">
        <v>135</v>
      </c>
      <c r="C592" s="66">
        <v>1956</v>
      </c>
      <c r="D592" s="66" t="s">
        <v>75</v>
      </c>
      <c r="E592" s="70">
        <v>3</v>
      </c>
      <c r="F592" s="70">
        <v>3</v>
      </c>
      <c r="G592" s="1">
        <v>1856.6</v>
      </c>
      <c r="H592" s="1">
        <v>1856.6</v>
      </c>
      <c r="I592" s="1">
        <v>1703.3</v>
      </c>
      <c r="J592" s="15">
        <v>66</v>
      </c>
      <c r="K592" s="1">
        <v>13801898.92</v>
      </c>
      <c r="L592" s="3">
        <v>0</v>
      </c>
      <c r="M592" s="3">
        <v>0</v>
      </c>
      <c r="N592" s="1">
        <v>13801898.92</v>
      </c>
      <c r="O592" s="3">
        <v>0</v>
      </c>
      <c r="P592" s="3">
        <v>0</v>
      </c>
      <c r="Q592" s="3">
        <v>0</v>
      </c>
      <c r="R592" s="68">
        <v>2025</v>
      </c>
      <c r="S592" s="68">
        <v>2026</v>
      </c>
    </row>
    <row r="593" spans="1:19" ht="18.75" customHeight="1">
      <c r="A593" s="76">
        <v>164</v>
      </c>
      <c r="B593" s="67" t="s">
        <v>136</v>
      </c>
      <c r="C593" s="66">
        <v>1952</v>
      </c>
      <c r="D593" s="66" t="s">
        <v>75</v>
      </c>
      <c r="E593" s="66">
        <v>2</v>
      </c>
      <c r="F593" s="66">
        <v>2</v>
      </c>
      <c r="G593" s="1">
        <v>715.8</v>
      </c>
      <c r="H593" s="1">
        <v>712</v>
      </c>
      <c r="I593" s="1">
        <v>684.5</v>
      </c>
      <c r="J593" s="15">
        <v>32</v>
      </c>
      <c r="K593" s="1">
        <v>1451416.99</v>
      </c>
      <c r="L593" s="3">
        <v>0</v>
      </c>
      <c r="M593" s="3">
        <v>0</v>
      </c>
      <c r="N593" s="1">
        <v>1451416.99</v>
      </c>
      <c r="O593" s="3">
        <v>0</v>
      </c>
      <c r="P593" s="3">
        <v>0</v>
      </c>
      <c r="Q593" s="3">
        <v>0</v>
      </c>
      <c r="R593" s="68">
        <v>2022</v>
      </c>
      <c r="S593" s="68">
        <v>2026</v>
      </c>
    </row>
    <row r="594" spans="1:19" ht="18.75" customHeight="1">
      <c r="A594" s="76">
        <v>165</v>
      </c>
      <c r="B594" s="67" t="s">
        <v>771</v>
      </c>
      <c r="C594" s="66">
        <v>1958</v>
      </c>
      <c r="D594" s="66" t="s">
        <v>75</v>
      </c>
      <c r="E594" s="66">
        <v>3</v>
      </c>
      <c r="F594" s="66">
        <v>2</v>
      </c>
      <c r="G594" s="1">
        <v>1118.5999999999999</v>
      </c>
      <c r="H594" s="1">
        <v>1118.5999999999999</v>
      </c>
      <c r="I594" s="1">
        <v>1118.5999999999999</v>
      </c>
      <c r="J594" s="15">
        <v>41</v>
      </c>
      <c r="K594" s="1">
        <v>2715253.21</v>
      </c>
      <c r="L594" s="3">
        <v>0</v>
      </c>
      <c r="M594" s="3">
        <v>0</v>
      </c>
      <c r="N594" s="1">
        <v>2715253.21</v>
      </c>
      <c r="O594" s="3">
        <v>0</v>
      </c>
      <c r="P594" s="3">
        <v>0</v>
      </c>
      <c r="Q594" s="3">
        <v>0</v>
      </c>
      <c r="R594" s="68">
        <v>2020</v>
      </c>
      <c r="S594" s="68">
        <v>2026</v>
      </c>
    </row>
    <row r="595" spans="1:19" ht="39.75" customHeight="1">
      <c r="A595" s="158" t="s">
        <v>226</v>
      </c>
      <c r="B595" s="159"/>
      <c r="C595" s="159"/>
      <c r="D595" s="159"/>
      <c r="E595" s="159"/>
      <c r="F595" s="160"/>
      <c r="G595" s="1">
        <f>SUM(G596:G610)</f>
        <v>9307.5</v>
      </c>
      <c r="H595" s="1">
        <f t="shared" ref="H595:Q595" si="126">SUM(H596:H610)</f>
        <v>7970.0999999999985</v>
      </c>
      <c r="I595" s="1">
        <f t="shared" si="126"/>
        <v>6434.4000000000005</v>
      </c>
      <c r="J595" s="16">
        <f t="shared" si="126"/>
        <v>295</v>
      </c>
      <c r="K595" s="1">
        <f t="shared" si="126"/>
        <v>24258520.459999997</v>
      </c>
      <c r="L595" s="1">
        <f t="shared" si="126"/>
        <v>0</v>
      </c>
      <c r="M595" s="1">
        <f t="shared" si="126"/>
        <v>0</v>
      </c>
      <c r="N595" s="1">
        <f t="shared" si="126"/>
        <v>10821757.300000001</v>
      </c>
      <c r="O595" s="1">
        <f t="shared" si="126"/>
        <v>13436763.16</v>
      </c>
      <c r="P595" s="1">
        <f t="shared" si="126"/>
        <v>0</v>
      </c>
      <c r="Q595" s="1">
        <f t="shared" si="126"/>
        <v>0</v>
      </c>
      <c r="R595" s="133" t="s">
        <v>52</v>
      </c>
      <c r="S595" s="133" t="s">
        <v>52</v>
      </c>
    </row>
    <row r="596" spans="1:19" ht="23.25" customHeight="1">
      <c r="A596" s="76">
        <v>166</v>
      </c>
      <c r="B596" s="121" t="s">
        <v>772</v>
      </c>
      <c r="C596" s="95">
        <v>1977</v>
      </c>
      <c r="D596" s="76" t="s">
        <v>86</v>
      </c>
      <c r="E596" s="95">
        <v>2</v>
      </c>
      <c r="F596" s="95">
        <v>3</v>
      </c>
      <c r="G596" s="1">
        <v>817</v>
      </c>
      <c r="H596" s="1">
        <v>817</v>
      </c>
      <c r="I596" s="1">
        <v>775</v>
      </c>
      <c r="J596" s="15">
        <v>29</v>
      </c>
      <c r="K596" s="8">
        <f>L596+M596+N596+O596+P596+Q596</f>
        <v>851877.83</v>
      </c>
      <c r="L596" s="1">
        <v>0</v>
      </c>
      <c r="M596" s="1">
        <v>0</v>
      </c>
      <c r="N596" s="8">
        <v>851877.83</v>
      </c>
      <c r="O596" s="1">
        <v>0</v>
      </c>
      <c r="P596" s="1">
        <v>0</v>
      </c>
      <c r="Q596" s="1">
        <v>0</v>
      </c>
      <c r="R596" s="133">
        <v>2026</v>
      </c>
      <c r="S596" s="133">
        <v>2026</v>
      </c>
    </row>
    <row r="597" spans="1:19" ht="21.75" customHeight="1">
      <c r="A597" s="76">
        <v>167</v>
      </c>
      <c r="B597" s="121" t="s">
        <v>773</v>
      </c>
      <c r="C597" s="95">
        <v>1977</v>
      </c>
      <c r="D597" s="76" t="s">
        <v>86</v>
      </c>
      <c r="E597" s="95">
        <v>2</v>
      </c>
      <c r="F597" s="95">
        <v>2</v>
      </c>
      <c r="G597" s="1">
        <v>721.7</v>
      </c>
      <c r="H597" s="1">
        <v>721.7</v>
      </c>
      <c r="I597" s="1">
        <v>422.9</v>
      </c>
      <c r="J597" s="15">
        <v>21</v>
      </c>
      <c r="K597" s="8">
        <f t="shared" ref="K597:K610" si="127">L597+M597+N597+O597+P597+Q597</f>
        <v>464850.5</v>
      </c>
      <c r="L597" s="1">
        <v>0</v>
      </c>
      <c r="M597" s="1">
        <v>0</v>
      </c>
      <c r="N597" s="8">
        <v>464850.5</v>
      </c>
      <c r="O597" s="1">
        <v>0</v>
      </c>
      <c r="P597" s="1">
        <v>0</v>
      </c>
      <c r="Q597" s="1">
        <v>0</v>
      </c>
      <c r="R597" s="133">
        <v>2026</v>
      </c>
      <c r="S597" s="133">
        <v>2026</v>
      </c>
    </row>
    <row r="598" spans="1:19" ht="22.5" customHeight="1">
      <c r="A598" s="76">
        <v>168</v>
      </c>
      <c r="B598" s="121" t="s">
        <v>774</v>
      </c>
      <c r="C598" s="95">
        <v>1981</v>
      </c>
      <c r="D598" s="76" t="s">
        <v>86</v>
      </c>
      <c r="E598" s="95">
        <v>3</v>
      </c>
      <c r="F598" s="95">
        <v>3</v>
      </c>
      <c r="G598" s="1">
        <v>1844.3</v>
      </c>
      <c r="H598" s="1">
        <v>1284.2</v>
      </c>
      <c r="I598" s="1">
        <v>832.2</v>
      </c>
      <c r="J598" s="15">
        <v>42</v>
      </c>
      <c r="K598" s="8">
        <f t="shared" si="127"/>
        <v>1469580.17</v>
      </c>
      <c r="L598" s="1">
        <v>0</v>
      </c>
      <c r="M598" s="1">
        <v>0</v>
      </c>
      <c r="N598" s="8">
        <v>1469580.17</v>
      </c>
      <c r="O598" s="1">
        <v>0</v>
      </c>
      <c r="P598" s="1">
        <v>0</v>
      </c>
      <c r="Q598" s="1">
        <v>0</v>
      </c>
      <c r="R598" s="133">
        <v>2026</v>
      </c>
      <c r="S598" s="133">
        <v>2026</v>
      </c>
    </row>
    <row r="599" spans="1:19" ht="22.5" customHeight="1">
      <c r="A599" s="76">
        <v>169</v>
      </c>
      <c r="B599" s="121" t="s">
        <v>775</v>
      </c>
      <c r="C599" s="95">
        <v>1970</v>
      </c>
      <c r="D599" s="76" t="s">
        <v>86</v>
      </c>
      <c r="E599" s="95">
        <v>2</v>
      </c>
      <c r="F599" s="95">
        <v>1</v>
      </c>
      <c r="G599" s="1">
        <v>661.1</v>
      </c>
      <c r="H599" s="1">
        <v>539.79999999999995</v>
      </c>
      <c r="I599" s="1">
        <v>401.1</v>
      </c>
      <c r="J599" s="15">
        <v>19</v>
      </c>
      <c r="K599" s="8">
        <f t="shared" si="127"/>
        <v>783003.54999999993</v>
      </c>
      <c r="L599" s="1">
        <v>0</v>
      </c>
      <c r="M599" s="1">
        <v>0</v>
      </c>
      <c r="N599" s="8">
        <v>783003.54999999993</v>
      </c>
      <c r="O599" s="1">
        <v>0</v>
      </c>
      <c r="P599" s="1">
        <v>0</v>
      </c>
      <c r="Q599" s="1">
        <v>0</v>
      </c>
      <c r="R599" s="133">
        <v>2026</v>
      </c>
      <c r="S599" s="133">
        <v>2026</v>
      </c>
    </row>
    <row r="600" spans="1:19" ht="27" customHeight="1">
      <c r="A600" s="76">
        <v>170</v>
      </c>
      <c r="B600" s="121" t="s">
        <v>776</v>
      </c>
      <c r="C600" s="95">
        <v>1971</v>
      </c>
      <c r="D600" s="76" t="s">
        <v>86</v>
      </c>
      <c r="E600" s="95">
        <v>2</v>
      </c>
      <c r="F600" s="95">
        <v>1</v>
      </c>
      <c r="G600" s="1">
        <v>357</v>
      </c>
      <c r="H600" s="1">
        <v>357</v>
      </c>
      <c r="I600" s="1">
        <v>357</v>
      </c>
      <c r="J600" s="15">
        <v>12</v>
      </c>
      <c r="K600" s="8">
        <f t="shared" si="127"/>
        <v>378691.30000000005</v>
      </c>
      <c r="L600" s="1">
        <v>0</v>
      </c>
      <c r="M600" s="1">
        <v>0</v>
      </c>
      <c r="N600" s="8">
        <v>378691.30000000005</v>
      </c>
      <c r="O600" s="1">
        <v>0</v>
      </c>
      <c r="P600" s="1">
        <v>0</v>
      </c>
      <c r="Q600" s="1">
        <v>0</v>
      </c>
      <c r="R600" s="133">
        <v>2026</v>
      </c>
      <c r="S600" s="133">
        <v>2026</v>
      </c>
    </row>
    <row r="601" spans="1:19" ht="22.5" customHeight="1">
      <c r="A601" s="76">
        <v>171</v>
      </c>
      <c r="B601" s="121" t="s">
        <v>777</v>
      </c>
      <c r="C601" s="95">
        <v>1940</v>
      </c>
      <c r="D601" s="76" t="s">
        <v>86</v>
      </c>
      <c r="E601" s="95">
        <v>2</v>
      </c>
      <c r="F601" s="95">
        <v>1</v>
      </c>
      <c r="G601" s="1">
        <v>260.10000000000002</v>
      </c>
      <c r="H601" s="1">
        <v>248.8</v>
      </c>
      <c r="I601" s="1">
        <v>151.30000000000001</v>
      </c>
      <c r="J601" s="15">
        <v>8</v>
      </c>
      <c r="K601" s="8">
        <f t="shared" si="127"/>
        <v>2709865.25</v>
      </c>
      <c r="L601" s="1">
        <v>0</v>
      </c>
      <c r="M601" s="1">
        <v>0</v>
      </c>
      <c r="N601" s="8">
        <v>1988195.41</v>
      </c>
      <c r="O601" s="8">
        <v>721669.84</v>
      </c>
      <c r="P601" s="1">
        <v>0</v>
      </c>
      <c r="Q601" s="1">
        <v>0</v>
      </c>
      <c r="R601" s="133">
        <v>2024</v>
      </c>
      <c r="S601" s="133">
        <v>2026</v>
      </c>
    </row>
    <row r="602" spans="1:19" ht="27" customHeight="1">
      <c r="A602" s="76">
        <v>172</v>
      </c>
      <c r="B602" s="121" t="s">
        <v>778</v>
      </c>
      <c r="C602" s="95">
        <v>1962</v>
      </c>
      <c r="D602" s="76" t="s">
        <v>86</v>
      </c>
      <c r="E602" s="95">
        <v>2</v>
      </c>
      <c r="F602" s="95">
        <v>3</v>
      </c>
      <c r="G602" s="1">
        <v>466.9</v>
      </c>
      <c r="H602" s="1">
        <v>439.9</v>
      </c>
      <c r="I602" s="1">
        <v>439.9</v>
      </c>
      <c r="J602" s="15">
        <v>18</v>
      </c>
      <c r="K602" s="8">
        <f t="shared" si="127"/>
        <v>469248.89999999997</v>
      </c>
      <c r="L602" s="1">
        <v>0</v>
      </c>
      <c r="M602" s="1">
        <v>0</v>
      </c>
      <c r="N602" s="8">
        <v>469248.89999999997</v>
      </c>
      <c r="O602" s="1">
        <v>0</v>
      </c>
      <c r="P602" s="1">
        <v>0</v>
      </c>
      <c r="Q602" s="1">
        <v>0</v>
      </c>
      <c r="R602" s="133">
        <v>2026</v>
      </c>
      <c r="S602" s="133">
        <v>2026</v>
      </c>
    </row>
    <row r="603" spans="1:19" ht="21" customHeight="1">
      <c r="A603" s="76">
        <v>173</v>
      </c>
      <c r="B603" s="121" t="s">
        <v>779</v>
      </c>
      <c r="C603" s="95">
        <v>1940</v>
      </c>
      <c r="D603" s="76" t="s">
        <v>86</v>
      </c>
      <c r="E603" s="95">
        <v>2</v>
      </c>
      <c r="F603" s="95">
        <v>1</v>
      </c>
      <c r="G603" s="1">
        <v>266</v>
      </c>
      <c r="H603" s="1">
        <v>153.9</v>
      </c>
      <c r="I603" s="1">
        <v>153.9</v>
      </c>
      <c r="J603" s="15">
        <v>15</v>
      </c>
      <c r="K603" s="8">
        <f t="shared" si="127"/>
        <v>144588.15999999997</v>
      </c>
      <c r="L603" s="1">
        <v>0</v>
      </c>
      <c r="M603" s="1">
        <v>0</v>
      </c>
      <c r="N603" s="8">
        <v>144588.15999999997</v>
      </c>
      <c r="O603" s="1">
        <v>0</v>
      </c>
      <c r="P603" s="1">
        <v>0</v>
      </c>
      <c r="Q603" s="1">
        <v>0</v>
      </c>
      <c r="R603" s="133">
        <v>2026</v>
      </c>
      <c r="S603" s="133">
        <v>2026</v>
      </c>
    </row>
    <row r="604" spans="1:19" ht="24" customHeight="1">
      <c r="A604" s="76">
        <v>174</v>
      </c>
      <c r="B604" s="121" t="s">
        <v>780</v>
      </c>
      <c r="C604" s="95">
        <v>1946</v>
      </c>
      <c r="D604" s="76" t="s">
        <v>86</v>
      </c>
      <c r="E604" s="95">
        <v>2</v>
      </c>
      <c r="F604" s="95">
        <v>1</v>
      </c>
      <c r="G604" s="1">
        <v>362.9</v>
      </c>
      <c r="H604" s="1">
        <v>247.4</v>
      </c>
      <c r="I604" s="1">
        <v>159.80000000000001</v>
      </c>
      <c r="J604" s="15">
        <v>15</v>
      </c>
      <c r="K604" s="8">
        <f t="shared" si="127"/>
        <v>399174.33999999997</v>
      </c>
      <c r="L604" s="1">
        <v>0</v>
      </c>
      <c r="M604" s="1">
        <v>0</v>
      </c>
      <c r="N604" s="8">
        <v>229600.57</v>
      </c>
      <c r="O604" s="8">
        <v>169573.77</v>
      </c>
      <c r="P604" s="1">
        <v>0</v>
      </c>
      <c r="Q604" s="1">
        <v>0</v>
      </c>
      <c r="R604" s="133">
        <v>2014</v>
      </c>
      <c r="S604" s="133">
        <v>2026</v>
      </c>
    </row>
    <row r="605" spans="1:19" ht="22.5" customHeight="1">
      <c r="A605" s="76">
        <v>175</v>
      </c>
      <c r="B605" s="121" t="s">
        <v>779</v>
      </c>
      <c r="C605" s="95">
        <v>1940</v>
      </c>
      <c r="D605" s="76" t="s">
        <v>86</v>
      </c>
      <c r="E605" s="95">
        <v>2</v>
      </c>
      <c r="F605" s="95">
        <v>1</v>
      </c>
      <c r="G605" s="1">
        <v>266</v>
      </c>
      <c r="H605" s="1">
        <v>153.9</v>
      </c>
      <c r="I605" s="1">
        <v>153.9</v>
      </c>
      <c r="J605" s="15">
        <v>15</v>
      </c>
      <c r="K605" s="8">
        <f t="shared" si="127"/>
        <v>13447356</v>
      </c>
      <c r="L605" s="1">
        <v>0</v>
      </c>
      <c r="M605" s="1">
        <v>0</v>
      </c>
      <c r="N605" s="8">
        <v>901836.45</v>
      </c>
      <c r="O605" s="8">
        <v>12545519.550000001</v>
      </c>
      <c r="P605" s="1">
        <v>0</v>
      </c>
      <c r="Q605" s="1">
        <v>0</v>
      </c>
      <c r="R605" s="133">
        <v>2024</v>
      </c>
      <c r="S605" s="133">
        <v>2026</v>
      </c>
    </row>
    <row r="606" spans="1:19" ht="22.5" customHeight="1">
      <c r="A606" s="76">
        <v>176</v>
      </c>
      <c r="B606" s="121" t="s">
        <v>781</v>
      </c>
      <c r="C606" s="95">
        <v>1941</v>
      </c>
      <c r="D606" s="76" t="s">
        <v>86</v>
      </c>
      <c r="E606" s="95">
        <v>2</v>
      </c>
      <c r="F606" s="95">
        <v>2</v>
      </c>
      <c r="G606" s="1">
        <v>862.7</v>
      </c>
      <c r="H606" s="1">
        <v>724.2</v>
      </c>
      <c r="I606" s="1">
        <v>668.5</v>
      </c>
      <c r="J606" s="15">
        <v>24</v>
      </c>
      <c r="K606" s="8">
        <f t="shared" si="127"/>
        <v>680381.70000000007</v>
      </c>
      <c r="L606" s="1">
        <v>0</v>
      </c>
      <c r="M606" s="1">
        <v>0</v>
      </c>
      <c r="N606" s="8">
        <v>680381.70000000007</v>
      </c>
      <c r="O606" s="1">
        <v>0</v>
      </c>
      <c r="P606" s="1">
        <v>0</v>
      </c>
      <c r="Q606" s="1">
        <v>0</v>
      </c>
      <c r="R606" s="133">
        <v>2026</v>
      </c>
      <c r="S606" s="133">
        <v>2026</v>
      </c>
    </row>
    <row r="607" spans="1:19" ht="25.5" customHeight="1">
      <c r="A607" s="76">
        <v>177</v>
      </c>
      <c r="B607" s="121" t="s">
        <v>782</v>
      </c>
      <c r="C607" s="95">
        <v>1973</v>
      </c>
      <c r="D607" s="76" t="s">
        <v>86</v>
      </c>
      <c r="E607" s="95">
        <v>2</v>
      </c>
      <c r="F607" s="95">
        <v>2</v>
      </c>
      <c r="G607" s="1">
        <v>777.7</v>
      </c>
      <c r="H607" s="1">
        <v>769.4</v>
      </c>
      <c r="I607" s="1">
        <v>769.4</v>
      </c>
      <c r="J607" s="15">
        <v>23</v>
      </c>
      <c r="K607" s="8">
        <f t="shared" si="127"/>
        <v>827796.43</v>
      </c>
      <c r="L607" s="1">
        <v>0</v>
      </c>
      <c r="M607" s="1">
        <v>0</v>
      </c>
      <c r="N607" s="8">
        <v>827796.43</v>
      </c>
      <c r="O607" s="1">
        <v>0</v>
      </c>
      <c r="P607" s="1">
        <v>0</v>
      </c>
      <c r="Q607" s="1">
        <v>0</v>
      </c>
      <c r="R607" s="133">
        <v>2026</v>
      </c>
      <c r="S607" s="133">
        <v>2026</v>
      </c>
    </row>
    <row r="608" spans="1:19" ht="21" customHeight="1">
      <c r="A608" s="76">
        <v>178</v>
      </c>
      <c r="B608" s="121" t="s">
        <v>783</v>
      </c>
      <c r="C608" s="95">
        <v>1990</v>
      </c>
      <c r="D608" s="76" t="s">
        <v>86</v>
      </c>
      <c r="E608" s="95">
        <v>2</v>
      </c>
      <c r="F608" s="95">
        <v>2</v>
      </c>
      <c r="G608" s="1">
        <v>771</v>
      </c>
      <c r="H608" s="1">
        <v>771</v>
      </c>
      <c r="I608" s="1">
        <v>771</v>
      </c>
      <c r="J608" s="15">
        <v>23</v>
      </c>
      <c r="K608" s="8">
        <f t="shared" si="127"/>
        <v>816611.93</v>
      </c>
      <c r="L608" s="1">
        <v>0</v>
      </c>
      <c r="M608" s="1">
        <v>0</v>
      </c>
      <c r="N608" s="8">
        <v>816611.93</v>
      </c>
      <c r="O608" s="1">
        <v>0</v>
      </c>
      <c r="P608" s="1">
        <v>0</v>
      </c>
      <c r="Q608" s="1">
        <v>0</v>
      </c>
      <c r="R608" s="133">
        <v>2026</v>
      </c>
      <c r="S608" s="133">
        <v>2026</v>
      </c>
    </row>
    <row r="609" spans="1:19" ht="24" customHeight="1">
      <c r="A609" s="76">
        <v>179</v>
      </c>
      <c r="B609" s="121" t="s">
        <v>229</v>
      </c>
      <c r="C609" s="95">
        <v>1977</v>
      </c>
      <c r="D609" s="76" t="s">
        <v>86</v>
      </c>
      <c r="E609" s="95">
        <v>2</v>
      </c>
      <c r="F609" s="95">
        <v>1</v>
      </c>
      <c r="G609" s="1">
        <v>386.7</v>
      </c>
      <c r="H609" s="1">
        <v>386.3</v>
      </c>
      <c r="I609" s="1">
        <v>81.5</v>
      </c>
      <c r="J609" s="15">
        <v>14</v>
      </c>
      <c r="K609" s="8">
        <f t="shared" si="127"/>
        <v>424619.88</v>
      </c>
      <c r="L609" s="1">
        <v>0</v>
      </c>
      <c r="M609" s="1">
        <v>0</v>
      </c>
      <c r="N609" s="8">
        <v>424619.88</v>
      </c>
      <c r="O609" s="1">
        <v>0</v>
      </c>
      <c r="P609" s="1">
        <v>0</v>
      </c>
      <c r="Q609" s="1">
        <v>0</v>
      </c>
      <c r="R609" s="133">
        <v>2026</v>
      </c>
      <c r="S609" s="133">
        <v>2026</v>
      </c>
    </row>
    <row r="610" spans="1:19" ht="19.5" customHeight="1">
      <c r="A610" s="76">
        <v>180</v>
      </c>
      <c r="B610" s="121" t="s">
        <v>230</v>
      </c>
      <c r="C610" s="95">
        <v>1971</v>
      </c>
      <c r="D610" s="76" t="s">
        <v>86</v>
      </c>
      <c r="E610" s="95">
        <v>2</v>
      </c>
      <c r="F610" s="95">
        <v>2</v>
      </c>
      <c r="G610" s="1">
        <v>486.4</v>
      </c>
      <c r="H610" s="1">
        <v>355.6</v>
      </c>
      <c r="I610" s="1">
        <v>297</v>
      </c>
      <c r="J610" s="15">
        <v>17</v>
      </c>
      <c r="K610" s="8">
        <f t="shared" si="127"/>
        <v>390874.51999999996</v>
      </c>
      <c r="L610" s="1">
        <v>0</v>
      </c>
      <c r="M610" s="1">
        <v>0</v>
      </c>
      <c r="N610" s="8">
        <v>390874.51999999996</v>
      </c>
      <c r="O610" s="1">
        <v>0</v>
      </c>
      <c r="P610" s="1">
        <v>0</v>
      </c>
      <c r="Q610" s="1">
        <v>0</v>
      </c>
      <c r="R610" s="133">
        <v>2026</v>
      </c>
      <c r="S610" s="133">
        <v>2026</v>
      </c>
    </row>
    <row r="611" spans="1:19" ht="33.75" customHeight="1">
      <c r="A611" s="158" t="s">
        <v>73</v>
      </c>
      <c r="B611" s="159"/>
      <c r="C611" s="159"/>
      <c r="D611" s="159"/>
      <c r="E611" s="159"/>
      <c r="F611" s="160"/>
      <c r="G611" s="1">
        <f>SUM(G612:G622)</f>
        <v>27292.450000000004</v>
      </c>
      <c r="H611" s="1">
        <f t="shared" ref="H611:Q611" si="128">SUM(H612:H622)</f>
        <v>20441.500000000004</v>
      </c>
      <c r="I611" s="1">
        <f t="shared" si="128"/>
        <v>17941.099999999999</v>
      </c>
      <c r="J611" s="15">
        <f t="shared" si="128"/>
        <v>879</v>
      </c>
      <c r="K611" s="1">
        <f t="shared" si="128"/>
        <v>53939542.290000007</v>
      </c>
      <c r="L611" s="3">
        <f t="shared" si="128"/>
        <v>0</v>
      </c>
      <c r="M611" s="3">
        <f t="shared" si="128"/>
        <v>0</v>
      </c>
      <c r="N611" s="80">
        <f t="shared" si="128"/>
        <v>36947745.369999997</v>
      </c>
      <c r="O611" s="63">
        <f t="shared" si="128"/>
        <v>16991796.919999998</v>
      </c>
      <c r="P611" s="3">
        <f t="shared" si="128"/>
        <v>0</v>
      </c>
      <c r="Q611" s="3">
        <f t="shared" si="128"/>
        <v>0</v>
      </c>
      <c r="R611" s="133" t="s">
        <v>52</v>
      </c>
      <c r="S611" s="133" t="s">
        <v>52</v>
      </c>
    </row>
    <row r="612" spans="1:19" ht="18.75" customHeight="1">
      <c r="A612" s="76">
        <v>181</v>
      </c>
      <c r="B612" s="121" t="s">
        <v>213</v>
      </c>
      <c r="C612" s="64">
        <v>1960</v>
      </c>
      <c r="D612" s="66" t="s">
        <v>75</v>
      </c>
      <c r="E612" s="64">
        <v>4</v>
      </c>
      <c r="F612" s="64">
        <v>6</v>
      </c>
      <c r="G612" s="1">
        <v>6684.68</v>
      </c>
      <c r="H612" s="1">
        <v>4253.5</v>
      </c>
      <c r="I612" s="1">
        <v>3347</v>
      </c>
      <c r="J612" s="133">
        <v>353</v>
      </c>
      <c r="K612" s="1">
        <f>L612+M612+N612+O612+P612+Q612</f>
        <v>12088950.609999999</v>
      </c>
      <c r="L612" s="3">
        <v>0</v>
      </c>
      <c r="M612" s="3">
        <v>0</v>
      </c>
      <c r="N612" s="1">
        <v>7570644.7199999997</v>
      </c>
      <c r="O612" s="8">
        <v>4518305.8899999997</v>
      </c>
      <c r="P612" s="3">
        <v>0</v>
      </c>
      <c r="Q612" s="3">
        <v>0</v>
      </c>
      <c r="R612" s="133">
        <v>2021</v>
      </c>
      <c r="S612" s="133">
        <v>2026</v>
      </c>
    </row>
    <row r="613" spans="1:19" ht="18.75" customHeight="1">
      <c r="A613" s="76">
        <v>182</v>
      </c>
      <c r="B613" s="121" t="s">
        <v>214</v>
      </c>
      <c r="C613" s="95">
        <v>1980</v>
      </c>
      <c r="D613" s="95" t="s">
        <v>132</v>
      </c>
      <c r="E613" s="95">
        <v>2</v>
      </c>
      <c r="F613" s="95">
        <v>2</v>
      </c>
      <c r="G613" s="1">
        <v>509.8</v>
      </c>
      <c r="H613" s="1">
        <v>383</v>
      </c>
      <c r="I613" s="1">
        <v>383</v>
      </c>
      <c r="J613" s="133">
        <v>12</v>
      </c>
      <c r="K613" s="1">
        <f t="shared" ref="K613:K622" si="129">L613+M613+N613+O613+P613+Q613</f>
        <v>1745231.35</v>
      </c>
      <c r="L613" s="3">
        <v>0</v>
      </c>
      <c r="M613" s="3">
        <v>0</v>
      </c>
      <c r="N613" s="1">
        <v>1100148.81</v>
      </c>
      <c r="O613" s="8">
        <v>645082.54</v>
      </c>
      <c r="P613" s="3">
        <v>0</v>
      </c>
      <c r="Q613" s="3">
        <v>0</v>
      </c>
      <c r="R613" s="133">
        <v>2026</v>
      </c>
      <c r="S613" s="133">
        <v>2026</v>
      </c>
    </row>
    <row r="614" spans="1:19" ht="18.75" customHeight="1">
      <c r="A614" s="76">
        <v>183</v>
      </c>
      <c r="B614" s="121" t="s">
        <v>215</v>
      </c>
      <c r="C614" s="95">
        <v>1992</v>
      </c>
      <c r="D614" s="66" t="s">
        <v>75</v>
      </c>
      <c r="E614" s="95">
        <v>3</v>
      </c>
      <c r="F614" s="95">
        <v>3</v>
      </c>
      <c r="G614" s="1">
        <v>1573.9</v>
      </c>
      <c r="H614" s="1">
        <v>1440.7</v>
      </c>
      <c r="I614" s="1">
        <v>1387.7</v>
      </c>
      <c r="J614" s="133">
        <v>69</v>
      </c>
      <c r="K614" s="1">
        <f t="shared" si="129"/>
        <v>1196712.8599999999</v>
      </c>
      <c r="L614" s="3">
        <v>0</v>
      </c>
      <c r="M614" s="3">
        <v>0</v>
      </c>
      <c r="N614" s="1">
        <v>1082991.2</v>
      </c>
      <c r="O614" s="8">
        <v>113721.66</v>
      </c>
      <c r="P614" s="3">
        <v>0</v>
      </c>
      <c r="Q614" s="3">
        <v>0</v>
      </c>
      <c r="R614" s="133">
        <v>2026</v>
      </c>
      <c r="S614" s="133">
        <v>2026</v>
      </c>
    </row>
    <row r="615" spans="1:19" ht="18.75" customHeight="1">
      <c r="A615" s="76">
        <v>184</v>
      </c>
      <c r="B615" s="121" t="s">
        <v>216</v>
      </c>
      <c r="C615" s="95">
        <v>1950</v>
      </c>
      <c r="D615" s="66" t="s">
        <v>75</v>
      </c>
      <c r="E615" s="95">
        <v>4</v>
      </c>
      <c r="F615" s="95">
        <v>4</v>
      </c>
      <c r="G615" s="1">
        <v>2412.37</v>
      </c>
      <c r="H615" s="1">
        <v>1680.1</v>
      </c>
      <c r="I615" s="1">
        <v>1237.8</v>
      </c>
      <c r="J615" s="133">
        <v>37</v>
      </c>
      <c r="K615" s="1">
        <f t="shared" si="129"/>
        <v>10410913.539999999</v>
      </c>
      <c r="L615" s="3">
        <v>0</v>
      </c>
      <c r="M615" s="3">
        <v>0</v>
      </c>
      <c r="N615" s="1">
        <v>9041678.5199999996</v>
      </c>
      <c r="O615" s="8">
        <v>1369235.02</v>
      </c>
      <c r="P615" s="3">
        <v>0</v>
      </c>
      <c r="Q615" s="3">
        <v>0</v>
      </c>
      <c r="R615" s="133">
        <v>2026</v>
      </c>
      <c r="S615" s="133">
        <v>2026</v>
      </c>
    </row>
    <row r="616" spans="1:19" ht="18.75" customHeight="1">
      <c r="A616" s="76">
        <v>185</v>
      </c>
      <c r="B616" s="121" t="s">
        <v>217</v>
      </c>
      <c r="C616" s="95">
        <v>1967</v>
      </c>
      <c r="D616" s="66" t="s">
        <v>75</v>
      </c>
      <c r="E616" s="95">
        <v>5</v>
      </c>
      <c r="F616" s="95">
        <v>4</v>
      </c>
      <c r="G616" s="1">
        <v>4858.2</v>
      </c>
      <c r="H616" s="1">
        <v>3164.9</v>
      </c>
      <c r="I616" s="1">
        <v>2838.4</v>
      </c>
      <c r="J616" s="133">
        <v>103</v>
      </c>
      <c r="K616" s="1">
        <f t="shared" si="129"/>
        <v>9618584.9499999993</v>
      </c>
      <c r="L616" s="3">
        <v>0</v>
      </c>
      <c r="M616" s="3">
        <v>0</v>
      </c>
      <c r="N616" s="1">
        <v>4188076.42</v>
      </c>
      <c r="O616" s="8">
        <v>5430508.5300000003</v>
      </c>
      <c r="P616" s="3">
        <v>0</v>
      </c>
      <c r="Q616" s="3">
        <v>0</v>
      </c>
      <c r="R616" s="133">
        <v>2019</v>
      </c>
      <c r="S616" s="133">
        <v>2026</v>
      </c>
    </row>
    <row r="617" spans="1:19" ht="18.75" customHeight="1">
      <c r="A617" s="76">
        <v>186</v>
      </c>
      <c r="B617" s="121" t="s">
        <v>218</v>
      </c>
      <c r="C617" s="95">
        <v>1951</v>
      </c>
      <c r="D617" s="95" t="s">
        <v>132</v>
      </c>
      <c r="E617" s="95">
        <v>2</v>
      </c>
      <c r="F617" s="95">
        <v>2</v>
      </c>
      <c r="G617" s="1">
        <v>464</v>
      </c>
      <c r="H617" s="1">
        <v>416.2</v>
      </c>
      <c r="I617" s="1">
        <v>416.2</v>
      </c>
      <c r="J617" s="133">
        <v>17</v>
      </c>
      <c r="K617" s="1">
        <f t="shared" si="129"/>
        <v>1904938.31</v>
      </c>
      <c r="L617" s="3">
        <v>0</v>
      </c>
      <c r="M617" s="3">
        <v>0</v>
      </c>
      <c r="N617" s="1">
        <v>1203937.3999999999</v>
      </c>
      <c r="O617" s="8">
        <v>701000.91</v>
      </c>
      <c r="P617" s="3">
        <v>0</v>
      </c>
      <c r="Q617" s="3">
        <v>0</v>
      </c>
      <c r="R617" s="133">
        <v>2026</v>
      </c>
      <c r="S617" s="133">
        <v>2026</v>
      </c>
    </row>
    <row r="618" spans="1:19" ht="18.75" customHeight="1">
      <c r="A618" s="76">
        <v>187</v>
      </c>
      <c r="B618" s="121" t="s">
        <v>210</v>
      </c>
      <c r="C618" s="95">
        <v>1938</v>
      </c>
      <c r="D618" s="95" t="s">
        <v>132</v>
      </c>
      <c r="E618" s="95">
        <v>2</v>
      </c>
      <c r="F618" s="95">
        <v>2</v>
      </c>
      <c r="G618" s="1">
        <v>482.3</v>
      </c>
      <c r="H618" s="1">
        <v>482.3</v>
      </c>
      <c r="I618" s="1">
        <v>482.3</v>
      </c>
      <c r="J618" s="133">
        <v>18</v>
      </c>
      <c r="K618" s="1">
        <f t="shared" si="129"/>
        <v>1221240.79</v>
      </c>
      <c r="L618" s="3">
        <v>0</v>
      </c>
      <c r="M618" s="3">
        <v>0</v>
      </c>
      <c r="N618" s="1">
        <v>860021.25</v>
      </c>
      <c r="O618" s="8">
        <v>361219.54</v>
      </c>
      <c r="P618" s="3">
        <v>0</v>
      </c>
      <c r="Q618" s="3">
        <v>0</v>
      </c>
      <c r="R618" s="133">
        <v>2026</v>
      </c>
      <c r="S618" s="133">
        <v>2026</v>
      </c>
    </row>
    <row r="619" spans="1:19" ht="18.75" customHeight="1">
      <c r="A619" s="76">
        <v>188</v>
      </c>
      <c r="B619" s="121" t="s">
        <v>217</v>
      </c>
      <c r="C619" s="95">
        <v>1967</v>
      </c>
      <c r="D619" s="66" t="s">
        <v>75</v>
      </c>
      <c r="E619" s="95">
        <v>5</v>
      </c>
      <c r="F619" s="95">
        <v>4</v>
      </c>
      <c r="G619" s="1">
        <v>4858.2</v>
      </c>
      <c r="H619" s="1">
        <v>3171.8</v>
      </c>
      <c r="I619" s="1">
        <v>2881.5</v>
      </c>
      <c r="J619" s="133">
        <v>91</v>
      </c>
      <c r="K619" s="1">
        <f t="shared" si="129"/>
        <v>9278524.8999999985</v>
      </c>
      <c r="L619" s="3">
        <v>0</v>
      </c>
      <c r="M619" s="3">
        <v>0</v>
      </c>
      <c r="N619" s="1">
        <v>5645367.5599999996</v>
      </c>
      <c r="O619" s="8">
        <v>3633157.34</v>
      </c>
      <c r="P619" s="3">
        <v>0</v>
      </c>
      <c r="Q619" s="3">
        <v>0</v>
      </c>
      <c r="R619" s="133">
        <v>2026</v>
      </c>
      <c r="S619" s="133">
        <v>2026</v>
      </c>
    </row>
    <row r="620" spans="1:19" ht="18.75" customHeight="1">
      <c r="A620" s="76">
        <v>189</v>
      </c>
      <c r="B620" s="121" t="s">
        <v>219</v>
      </c>
      <c r="C620" s="95">
        <v>1881</v>
      </c>
      <c r="D620" s="95" t="s">
        <v>132</v>
      </c>
      <c r="E620" s="95">
        <v>2</v>
      </c>
      <c r="F620" s="95">
        <v>2</v>
      </c>
      <c r="G620" s="1">
        <v>516.20000000000005</v>
      </c>
      <c r="H620" s="1">
        <v>516.20000000000005</v>
      </c>
      <c r="I620" s="1">
        <v>515.20000000000005</v>
      </c>
      <c r="J620" s="133">
        <v>24</v>
      </c>
      <c r="K620" s="1">
        <f t="shared" si="129"/>
        <v>964248.39</v>
      </c>
      <c r="L620" s="3">
        <v>0</v>
      </c>
      <c r="M620" s="3">
        <v>0</v>
      </c>
      <c r="N620" s="1">
        <v>917627.9</v>
      </c>
      <c r="O620" s="8">
        <v>46620.49</v>
      </c>
      <c r="P620" s="3">
        <v>0</v>
      </c>
      <c r="Q620" s="3">
        <v>0</v>
      </c>
      <c r="R620" s="133">
        <v>2026</v>
      </c>
      <c r="S620" s="133">
        <v>2026</v>
      </c>
    </row>
    <row r="621" spans="1:19" ht="18.75" customHeight="1">
      <c r="A621" s="76">
        <v>190</v>
      </c>
      <c r="B621" s="121" t="s">
        <v>220</v>
      </c>
      <c r="C621" s="95">
        <v>1962</v>
      </c>
      <c r="D621" s="66" t="s">
        <v>75</v>
      </c>
      <c r="E621" s="95">
        <v>4</v>
      </c>
      <c r="F621" s="95">
        <v>2</v>
      </c>
      <c r="G621" s="1">
        <v>1313.4</v>
      </c>
      <c r="H621" s="1">
        <v>1313.4</v>
      </c>
      <c r="I621" s="1">
        <v>1313.4</v>
      </c>
      <c r="J621" s="133">
        <v>32</v>
      </c>
      <c r="K621" s="1">
        <f t="shared" si="129"/>
        <v>5153917.59</v>
      </c>
      <c r="L621" s="3">
        <v>0</v>
      </c>
      <c r="M621" s="3">
        <v>0</v>
      </c>
      <c r="N621" s="1">
        <v>5153917.59</v>
      </c>
      <c r="O621" s="3">
        <v>0</v>
      </c>
      <c r="P621" s="3">
        <v>0</v>
      </c>
      <c r="Q621" s="3">
        <v>0</v>
      </c>
      <c r="R621" s="133">
        <v>2026</v>
      </c>
      <c r="S621" s="133">
        <v>2026</v>
      </c>
    </row>
    <row r="622" spans="1:19" ht="18.75" customHeight="1">
      <c r="A622" s="76">
        <v>191</v>
      </c>
      <c r="B622" s="121" t="s">
        <v>221</v>
      </c>
      <c r="C622" s="95">
        <v>1989</v>
      </c>
      <c r="D622" s="66" t="s">
        <v>75</v>
      </c>
      <c r="E622" s="95">
        <v>5</v>
      </c>
      <c r="F622" s="95">
        <v>5</v>
      </c>
      <c r="G622" s="1">
        <v>3619.4</v>
      </c>
      <c r="H622" s="1">
        <v>3619.4</v>
      </c>
      <c r="I622" s="1">
        <v>3138.6</v>
      </c>
      <c r="J622" s="133">
        <v>123</v>
      </c>
      <c r="K622" s="1">
        <f t="shared" si="129"/>
        <v>356279</v>
      </c>
      <c r="L622" s="3">
        <v>0</v>
      </c>
      <c r="M622" s="3">
        <v>0</v>
      </c>
      <c r="N622" s="8">
        <v>183334</v>
      </c>
      <c r="O622" s="8">
        <v>172945</v>
      </c>
      <c r="P622" s="3">
        <v>0</v>
      </c>
      <c r="Q622" s="3">
        <v>0</v>
      </c>
      <c r="R622" s="133">
        <v>2026</v>
      </c>
      <c r="S622" s="133">
        <v>2026</v>
      </c>
    </row>
    <row r="623" spans="1:19" ht="39.75" customHeight="1">
      <c r="A623" s="158" t="s">
        <v>284</v>
      </c>
      <c r="B623" s="159"/>
      <c r="C623" s="159"/>
      <c r="D623" s="159"/>
      <c r="E623" s="159"/>
      <c r="F623" s="160"/>
      <c r="G623" s="1">
        <f>SUM(G624:G643)</f>
        <v>18433.509999999998</v>
      </c>
      <c r="H623" s="1">
        <f t="shared" ref="H623:Q623" si="130">SUM(H624:H643)</f>
        <v>17353.079999999998</v>
      </c>
      <c r="I623" s="1">
        <f t="shared" si="130"/>
        <v>13211.920000000002</v>
      </c>
      <c r="J623" s="58">
        <f t="shared" si="130"/>
        <v>653</v>
      </c>
      <c r="K623" s="1">
        <f t="shared" si="130"/>
        <v>45943809.200000003</v>
      </c>
      <c r="L623" s="3">
        <f t="shared" si="130"/>
        <v>0</v>
      </c>
      <c r="M623" s="3">
        <f t="shared" si="130"/>
        <v>0</v>
      </c>
      <c r="N623" s="63">
        <f t="shared" si="130"/>
        <v>33067059.710000001</v>
      </c>
      <c r="O623" s="63">
        <f t="shared" si="130"/>
        <v>12876749.489999998</v>
      </c>
      <c r="P623" s="3">
        <f t="shared" si="130"/>
        <v>0</v>
      </c>
      <c r="Q623" s="3">
        <f t="shared" si="130"/>
        <v>0</v>
      </c>
      <c r="R623" s="133" t="s">
        <v>52</v>
      </c>
      <c r="S623" s="133" t="s">
        <v>52</v>
      </c>
    </row>
    <row r="624" spans="1:19">
      <c r="A624" s="76">
        <v>192</v>
      </c>
      <c r="B624" s="121" t="s">
        <v>464</v>
      </c>
      <c r="C624" s="95">
        <v>1960</v>
      </c>
      <c r="D624" s="95" t="s">
        <v>75</v>
      </c>
      <c r="E624" s="95">
        <v>2</v>
      </c>
      <c r="F624" s="95">
        <v>3</v>
      </c>
      <c r="G624" s="3">
        <v>489.41</v>
      </c>
      <c r="H624" s="3">
        <v>489.41</v>
      </c>
      <c r="I624" s="3">
        <v>317</v>
      </c>
      <c r="J624" s="58">
        <v>19</v>
      </c>
      <c r="K624" s="8">
        <v>2639593.21</v>
      </c>
      <c r="L624" s="3">
        <v>0</v>
      </c>
      <c r="M624" s="3">
        <v>0</v>
      </c>
      <c r="N624" s="8">
        <v>1865650.45</v>
      </c>
      <c r="O624" s="8">
        <v>773942.76</v>
      </c>
      <c r="P624" s="3">
        <v>0</v>
      </c>
      <c r="Q624" s="3">
        <v>0</v>
      </c>
      <c r="R624" s="133">
        <v>2026</v>
      </c>
      <c r="S624" s="133">
        <v>2026</v>
      </c>
    </row>
    <row r="625" spans="1:19">
      <c r="A625" s="76">
        <v>193</v>
      </c>
      <c r="B625" s="121" t="s">
        <v>465</v>
      </c>
      <c r="C625" s="95">
        <v>1955</v>
      </c>
      <c r="D625" s="95" t="s">
        <v>75</v>
      </c>
      <c r="E625" s="95">
        <v>2</v>
      </c>
      <c r="F625" s="95">
        <v>2</v>
      </c>
      <c r="G625" s="3">
        <v>386.6</v>
      </c>
      <c r="H625" s="3">
        <v>364.6</v>
      </c>
      <c r="I625" s="3">
        <v>324.3</v>
      </c>
      <c r="J625" s="58">
        <v>19</v>
      </c>
      <c r="K625" s="8">
        <v>3769325.41</v>
      </c>
      <c r="L625" s="3">
        <v>0</v>
      </c>
      <c r="M625" s="3">
        <v>0</v>
      </c>
      <c r="N625" s="8">
        <v>1738322.13</v>
      </c>
      <c r="O625" s="8">
        <v>2031003.28</v>
      </c>
      <c r="P625" s="3">
        <v>0</v>
      </c>
      <c r="Q625" s="3">
        <v>0</v>
      </c>
      <c r="R625" s="133">
        <v>2021</v>
      </c>
      <c r="S625" s="133">
        <v>2026</v>
      </c>
    </row>
    <row r="626" spans="1:19">
      <c r="A626" s="76">
        <v>194</v>
      </c>
      <c r="B626" s="121" t="s">
        <v>784</v>
      </c>
      <c r="C626" s="95">
        <v>1959</v>
      </c>
      <c r="D626" s="95" t="s">
        <v>75</v>
      </c>
      <c r="E626" s="95">
        <v>2</v>
      </c>
      <c r="F626" s="95">
        <v>1</v>
      </c>
      <c r="G626" s="3">
        <v>280</v>
      </c>
      <c r="H626" s="3">
        <v>263.10000000000002</v>
      </c>
      <c r="I626" s="3">
        <v>205.14</v>
      </c>
      <c r="J626" s="58">
        <v>17</v>
      </c>
      <c r="K626" s="8">
        <v>94445</v>
      </c>
      <c r="L626" s="3">
        <v>0</v>
      </c>
      <c r="M626" s="3">
        <v>0</v>
      </c>
      <c r="N626" s="8">
        <v>58288</v>
      </c>
      <c r="O626" s="8">
        <v>36157</v>
      </c>
      <c r="P626" s="3">
        <v>0</v>
      </c>
      <c r="Q626" s="3">
        <v>0</v>
      </c>
      <c r="R626" s="133">
        <v>2026</v>
      </c>
      <c r="S626" s="133">
        <v>2026</v>
      </c>
    </row>
    <row r="627" spans="1:19">
      <c r="A627" s="76">
        <v>195</v>
      </c>
      <c r="B627" s="121" t="s">
        <v>303</v>
      </c>
      <c r="C627" s="95">
        <v>1949</v>
      </c>
      <c r="D627" s="95" t="s">
        <v>132</v>
      </c>
      <c r="E627" s="95">
        <v>2</v>
      </c>
      <c r="F627" s="95">
        <v>2</v>
      </c>
      <c r="G627" s="3">
        <v>408.3</v>
      </c>
      <c r="H627" s="3">
        <v>408.3</v>
      </c>
      <c r="I627" s="3">
        <v>408.3</v>
      </c>
      <c r="J627" s="58">
        <v>20</v>
      </c>
      <c r="K627" s="8">
        <v>96710</v>
      </c>
      <c r="L627" s="3">
        <v>0</v>
      </c>
      <c r="M627" s="3">
        <v>0</v>
      </c>
      <c r="N627" s="8">
        <v>64243</v>
      </c>
      <c r="O627" s="8">
        <v>32467</v>
      </c>
      <c r="P627" s="3">
        <v>0</v>
      </c>
      <c r="Q627" s="3">
        <v>0</v>
      </c>
      <c r="R627" s="133">
        <v>2026</v>
      </c>
      <c r="S627" s="133">
        <v>2026</v>
      </c>
    </row>
    <row r="628" spans="1:19">
      <c r="A628" s="76">
        <v>196</v>
      </c>
      <c r="B628" s="121" t="s">
        <v>466</v>
      </c>
      <c r="C628" s="95">
        <v>1976</v>
      </c>
      <c r="D628" s="95" t="s">
        <v>75</v>
      </c>
      <c r="E628" s="95">
        <v>3</v>
      </c>
      <c r="F628" s="95">
        <v>2</v>
      </c>
      <c r="G628" s="1">
        <v>1155</v>
      </c>
      <c r="H628" s="1">
        <v>1081.8</v>
      </c>
      <c r="I628" s="1">
        <v>1081.8</v>
      </c>
      <c r="J628" s="58">
        <v>27</v>
      </c>
      <c r="K628" s="8">
        <v>2804286.73</v>
      </c>
      <c r="L628" s="3">
        <v>0</v>
      </c>
      <c r="M628" s="3">
        <v>0</v>
      </c>
      <c r="N628" s="8">
        <v>2804286.73</v>
      </c>
      <c r="O628" s="3">
        <v>0</v>
      </c>
      <c r="P628" s="3">
        <v>0</v>
      </c>
      <c r="Q628" s="3">
        <v>0</v>
      </c>
      <c r="R628" s="133">
        <v>2023</v>
      </c>
      <c r="S628" s="133">
        <v>2026</v>
      </c>
    </row>
    <row r="629" spans="1:19">
      <c r="A629" s="76">
        <v>197</v>
      </c>
      <c r="B629" s="121" t="s">
        <v>467</v>
      </c>
      <c r="C629" s="95">
        <v>1972</v>
      </c>
      <c r="D629" s="95" t="s">
        <v>75</v>
      </c>
      <c r="E629" s="95">
        <v>2</v>
      </c>
      <c r="F629" s="95">
        <v>2</v>
      </c>
      <c r="G629" s="3">
        <v>547</v>
      </c>
      <c r="H629" s="3">
        <v>522</v>
      </c>
      <c r="I629" s="3">
        <v>522</v>
      </c>
      <c r="J629" s="58">
        <v>22</v>
      </c>
      <c r="K629" s="8">
        <v>1224618.1599999999</v>
      </c>
      <c r="L629" s="3">
        <v>0</v>
      </c>
      <c r="M629" s="3">
        <v>0</v>
      </c>
      <c r="N629" s="8">
        <v>210350</v>
      </c>
      <c r="O629" s="63">
        <v>1014268.16</v>
      </c>
      <c r="P629" s="3">
        <v>0</v>
      </c>
      <c r="Q629" s="3">
        <v>0</v>
      </c>
      <c r="R629" s="133">
        <v>2023</v>
      </c>
      <c r="S629" s="133">
        <v>2026</v>
      </c>
    </row>
    <row r="630" spans="1:19">
      <c r="A630" s="76">
        <v>198</v>
      </c>
      <c r="B630" s="121" t="s">
        <v>304</v>
      </c>
      <c r="C630" s="95" t="s">
        <v>163</v>
      </c>
      <c r="D630" s="95" t="s">
        <v>75</v>
      </c>
      <c r="E630" s="95">
        <v>3</v>
      </c>
      <c r="F630" s="95">
        <v>2</v>
      </c>
      <c r="G630" s="3">
        <v>626.29999999999995</v>
      </c>
      <c r="H630" s="3">
        <v>626.29999999999995</v>
      </c>
      <c r="I630" s="3">
        <v>444.8</v>
      </c>
      <c r="J630" s="58">
        <v>18</v>
      </c>
      <c r="K630" s="8">
        <v>4181816.15</v>
      </c>
      <c r="L630" s="3">
        <v>0</v>
      </c>
      <c r="M630" s="3">
        <v>0</v>
      </c>
      <c r="N630" s="8">
        <v>1591955.51</v>
      </c>
      <c r="O630" s="63">
        <v>2589860.64</v>
      </c>
      <c r="P630" s="3">
        <v>0</v>
      </c>
      <c r="Q630" s="3">
        <v>0</v>
      </c>
      <c r="R630" s="133">
        <v>2023</v>
      </c>
      <c r="S630" s="133">
        <v>2026</v>
      </c>
    </row>
    <row r="631" spans="1:19">
      <c r="A631" s="76">
        <v>199</v>
      </c>
      <c r="B631" s="121" t="s">
        <v>305</v>
      </c>
      <c r="C631" s="95" t="s">
        <v>163</v>
      </c>
      <c r="D631" s="95" t="s">
        <v>75</v>
      </c>
      <c r="E631" s="95">
        <v>3</v>
      </c>
      <c r="F631" s="95">
        <v>3</v>
      </c>
      <c r="G631" s="1">
        <v>2020.3</v>
      </c>
      <c r="H631" s="1">
        <v>2020.3</v>
      </c>
      <c r="I631" s="1">
        <v>1435</v>
      </c>
      <c r="J631" s="58">
        <v>49</v>
      </c>
      <c r="K631" s="8">
        <v>4992983.38</v>
      </c>
      <c r="L631" s="3">
        <v>0</v>
      </c>
      <c r="M631" s="3">
        <v>0</v>
      </c>
      <c r="N631" s="8">
        <v>4992983.38</v>
      </c>
      <c r="O631" s="3">
        <v>0</v>
      </c>
      <c r="P631" s="3">
        <v>0</v>
      </c>
      <c r="Q631" s="3">
        <v>0</v>
      </c>
      <c r="R631" s="133">
        <v>2024</v>
      </c>
      <c r="S631" s="133">
        <v>2026</v>
      </c>
    </row>
    <row r="632" spans="1:19">
      <c r="A632" s="76">
        <v>200</v>
      </c>
      <c r="B632" s="121" t="s">
        <v>468</v>
      </c>
      <c r="C632" s="95">
        <v>1970</v>
      </c>
      <c r="D632" s="95" t="s">
        <v>75</v>
      </c>
      <c r="E632" s="95">
        <v>2</v>
      </c>
      <c r="F632" s="95">
        <v>1</v>
      </c>
      <c r="G632" s="3">
        <v>389.4</v>
      </c>
      <c r="H632" s="3">
        <v>355</v>
      </c>
      <c r="I632" s="3">
        <v>312.3</v>
      </c>
      <c r="J632" s="58">
        <v>25</v>
      </c>
      <c r="K632" s="8">
        <v>809195.26</v>
      </c>
      <c r="L632" s="3">
        <v>0</v>
      </c>
      <c r="M632" s="3">
        <v>0</v>
      </c>
      <c r="N632" s="8">
        <v>245155.12</v>
      </c>
      <c r="O632" s="8">
        <v>564040.14</v>
      </c>
      <c r="P632" s="3">
        <v>0</v>
      </c>
      <c r="Q632" s="3">
        <v>0</v>
      </c>
      <c r="R632" s="133">
        <v>2023</v>
      </c>
      <c r="S632" s="133">
        <v>2026</v>
      </c>
    </row>
    <row r="633" spans="1:19">
      <c r="A633" s="76">
        <v>201</v>
      </c>
      <c r="B633" s="121" t="s">
        <v>555</v>
      </c>
      <c r="C633" s="95">
        <v>1970</v>
      </c>
      <c r="D633" s="95" t="s">
        <v>75</v>
      </c>
      <c r="E633" s="95">
        <v>2</v>
      </c>
      <c r="F633" s="95">
        <v>2</v>
      </c>
      <c r="G633" s="3">
        <v>554.9</v>
      </c>
      <c r="H633" s="3">
        <v>506.5</v>
      </c>
      <c r="I633" s="3">
        <v>506.5</v>
      </c>
      <c r="J633" s="58">
        <v>24</v>
      </c>
      <c r="K633" s="8">
        <v>1230205.48</v>
      </c>
      <c r="L633" s="3">
        <v>0</v>
      </c>
      <c r="M633" s="3">
        <v>0</v>
      </c>
      <c r="N633" s="8">
        <v>349777.65</v>
      </c>
      <c r="O633" s="8">
        <v>880427.83</v>
      </c>
      <c r="P633" s="3">
        <v>0</v>
      </c>
      <c r="Q633" s="3">
        <v>0</v>
      </c>
      <c r="R633" s="133">
        <v>2023</v>
      </c>
      <c r="S633" s="133">
        <v>2026</v>
      </c>
    </row>
    <row r="634" spans="1:19">
      <c r="A634" s="76">
        <v>202</v>
      </c>
      <c r="B634" s="121" t="s">
        <v>306</v>
      </c>
      <c r="C634" s="95">
        <v>1931</v>
      </c>
      <c r="D634" s="95" t="s">
        <v>75</v>
      </c>
      <c r="E634" s="95">
        <v>4</v>
      </c>
      <c r="F634" s="95">
        <v>6</v>
      </c>
      <c r="G634" s="1">
        <v>3183.9</v>
      </c>
      <c r="H634" s="1">
        <v>2757.87</v>
      </c>
      <c r="I634" s="3">
        <v>453.3</v>
      </c>
      <c r="J634" s="58">
        <v>110</v>
      </c>
      <c r="K634" s="8">
        <v>1441223.3</v>
      </c>
      <c r="L634" s="3">
        <v>0</v>
      </c>
      <c r="M634" s="3">
        <v>0</v>
      </c>
      <c r="N634" s="8">
        <v>519420.24</v>
      </c>
      <c r="O634" s="8">
        <v>921803.06</v>
      </c>
      <c r="P634" s="3">
        <v>0</v>
      </c>
      <c r="Q634" s="3">
        <v>0</v>
      </c>
      <c r="R634" s="133">
        <v>2023</v>
      </c>
      <c r="S634" s="133">
        <v>2026</v>
      </c>
    </row>
    <row r="635" spans="1:19">
      <c r="A635" s="76">
        <v>203</v>
      </c>
      <c r="B635" s="121" t="s">
        <v>307</v>
      </c>
      <c r="C635" s="95">
        <v>1961</v>
      </c>
      <c r="D635" s="95" t="s">
        <v>75</v>
      </c>
      <c r="E635" s="95">
        <v>2</v>
      </c>
      <c r="F635" s="95">
        <v>2</v>
      </c>
      <c r="G635" s="3">
        <v>852</v>
      </c>
      <c r="H635" s="3">
        <v>852</v>
      </c>
      <c r="I635" s="3">
        <v>653.6</v>
      </c>
      <c r="J635" s="58">
        <v>22</v>
      </c>
      <c r="K635" s="8">
        <v>3837521.05</v>
      </c>
      <c r="L635" s="3">
        <v>0</v>
      </c>
      <c r="M635" s="3">
        <v>0</v>
      </c>
      <c r="N635" s="8">
        <v>958754.62</v>
      </c>
      <c r="O635" s="63">
        <v>2878766.43</v>
      </c>
      <c r="P635" s="3">
        <v>0</v>
      </c>
      <c r="Q635" s="3">
        <v>0</v>
      </c>
      <c r="R635" s="133">
        <v>2023</v>
      </c>
      <c r="S635" s="133">
        <v>2026</v>
      </c>
    </row>
    <row r="636" spans="1:19" ht="37.5">
      <c r="A636" s="76">
        <v>204</v>
      </c>
      <c r="B636" s="121" t="s">
        <v>308</v>
      </c>
      <c r="C636" s="95">
        <v>1925</v>
      </c>
      <c r="D636" s="95" t="s">
        <v>132</v>
      </c>
      <c r="E636" s="95">
        <v>2</v>
      </c>
      <c r="F636" s="95">
        <v>2</v>
      </c>
      <c r="G636" s="3">
        <v>564.29999999999995</v>
      </c>
      <c r="H636" s="3">
        <v>564.29999999999995</v>
      </c>
      <c r="I636" s="3">
        <v>564.29999999999995</v>
      </c>
      <c r="J636" s="58">
        <v>17</v>
      </c>
      <c r="K636" s="8">
        <v>2878258.73</v>
      </c>
      <c r="L636" s="3">
        <v>0</v>
      </c>
      <c r="M636" s="3">
        <v>0</v>
      </c>
      <c r="N636" s="8">
        <v>2878258.73</v>
      </c>
      <c r="O636" s="3">
        <v>0</v>
      </c>
      <c r="P636" s="3">
        <v>0</v>
      </c>
      <c r="Q636" s="3">
        <v>0</v>
      </c>
      <c r="R636" s="133">
        <v>2022</v>
      </c>
      <c r="S636" s="133">
        <v>2026</v>
      </c>
    </row>
    <row r="637" spans="1:19">
      <c r="A637" s="76">
        <v>205</v>
      </c>
      <c r="B637" s="121" t="s">
        <v>309</v>
      </c>
      <c r="C637" s="95">
        <v>1918</v>
      </c>
      <c r="D637" s="95" t="s">
        <v>75</v>
      </c>
      <c r="E637" s="95">
        <v>3</v>
      </c>
      <c r="F637" s="95">
        <v>3</v>
      </c>
      <c r="G637" s="3">
        <v>918.8</v>
      </c>
      <c r="H637" s="3">
        <v>918.8</v>
      </c>
      <c r="I637" s="3">
        <v>634.98</v>
      </c>
      <c r="J637" s="58">
        <v>45</v>
      </c>
      <c r="K637" s="8">
        <v>2345791.0299999998</v>
      </c>
      <c r="L637" s="3">
        <v>0</v>
      </c>
      <c r="M637" s="3">
        <v>0</v>
      </c>
      <c r="N637" s="8">
        <v>2345791.0299999998</v>
      </c>
      <c r="O637" s="3">
        <v>0</v>
      </c>
      <c r="P637" s="3">
        <v>0</v>
      </c>
      <c r="Q637" s="3">
        <v>0</v>
      </c>
      <c r="R637" s="133">
        <v>2023</v>
      </c>
      <c r="S637" s="133">
        <v>2026</v>
      </c>
    </row>
    <row r="638" spans="1:19">
      <c r="A638" s="76">
        <v>206</v>
      </c>
      <c r="B638" s="121" t="s">
        <v>469</v>
      </c>
      <c r="C638" s="95">
        <v>1971</v>
      </c>
      <c r="D638" s="95" t="s">
        <v>75</v>
      </c>
      <c r="E638" s="95">
        <v>2</v>
      </c>
      <c r="F638" s="95">
        <v>2</v>
      </c>
      <c r="G638" s="3">
        <v>561.79999999999995</v>
      </c>
      <c r="H638" s="3">
        <v>511.8</v>
      </c>
      <c r="I638" s="3">
        <v>460.3</v>
      </c>
      <c r="J638" s="58">
        <v>22</v>
      </c>
      <c r="K638" s="8">
        <v>1223137.73</v>
      </c>
      <c r="L638" s="3">
        <v>0</v>
      </c>
      <c r="M638" s="3">
        <v>0</v>
      </c>
      <c r="N638" s="8">
        <v>204411.03</v>
      </c>
      <c r="O638" s="63">
        <v>1018726.7</v>
      </c>
      <c r="P638" s="3">
        <v>0</v>
      </c>
      <c r="Q638" s="3">
        <v>0</v>
      </c>
      <c r="R638" s="133">
        <v>2023</v>
      </c>
      <c r="S638" s="133">
        <v>2026</v>
      </c>
    </row>
    <row r="639" spans="1:19">
      <c r="A639" s="76">
        <v>207</v>
      </c>
      <c r="B639" s="121" t="s">
        <v>470</v>
      </c>
      <c r="C639" s="95">
        <v>1972</v>
      </c>
      <c r="D639" s="95" t="s">
        <v>75</v>
      </c>
      <c r="E639" s="95">
        <v>2</v>
      </c>
      <c r="F639" s="95">
        <v>3</v>
      </c>
      <c r="G639" s="3">
        <v>958.5</v>
      </c>
      <c r="H639" s="3">
        <v>913.2</v>
      </c>
      <c r="I639" s="3">
        <v>868.9</v>
      </c>
      <c r="J639" s="58">
        <v>34</v>
      </c>
      <c r="K639" s="8">
        <v>5169049.95</v>
      </c>
      <c r="L639" s="3">
        <v>0</v>
      </c>
      <c r="M639" s="8">
        <v>0</v>
      </c>
      <c r="N639" s="8">
        <v>5169049.95</v>
      </c>
      <c r="O639" s="3">
        <v>0</v>
      </c>
      <c r="P639" s="3">
        <v>0</v>
      </c>
      <c r="Q639" s="3">
        <v>0</v>
      </c>
      <c r="R639" s="133">
        <v>2022</v>
      </c>
      <c r="S639" s="133">
        <v>2026</v>
      </c>
    </row>
    <row r="640" spans="1:19" ht="37.5">
      <c r="A640" s="76">
        <v>208</v>
      </c>
      <c r="B640" s="121" t="s">
        <v>310</v>
      </c>
      <c r="C640" s="95">
        <v>1931</v>
      </c>
      <c r="D640" s="95" t="s">
        <v>132</v>
      </c>
      <c r="E640" s="95">
        <v>1</v>
      </c>
      <c r="F640" s="95">
        <v>3</v>
      </c>
      <c r="G640" s="3">
        <v>265.10000000000002</v>
      </c>
      <c r="H640" s="3">
        <v>265.10000000000002</v>
      </c>
      <c r="I640" s="3">
        <v>226.7</v>
      </c>
      <c r="J640" s="58">
        <v>13</v>
      </c>
      <c r="K640" s="8">
        <v>1534866.98</v>
      </c>
      <c r="L640" s="3">
        <v>0</v>
      </c>
      <c r="M640" s="3">
        <v>0</v>
      </c>
      <c r="N640" s="8">
        <v>1534866.98</v>
      </c>
      <c r="O640" s="3">
        <v>0</v>
      </c>
      <c r="P640" s="3">
        <v>0</v>
      </c>
      <c r="Q640" s="3">
        <v>0</v>
      </c>
      <c r="R640" s="133">
        <v>2026</v>
      </c>
      <c r="S640" s="133">
        <v>2026</v>
      </c>
    </row>
    <row r="641" spans="1:19">
      <c r="A641" s="76">
        <v>209</v>
      </c>
      <c r="B641" s="121" t="s">
        <v>311</v>
      </c>
      <c r="C641" s="95" t="s">
        <v>163</v>
      </c>
      <c r="D641" s="95" t="s">
        <v>75</v>
      </c>
      <c r="E641" s="95">
        <v>3</v>
      </c>
      <c r="F641" s="95">
        <v>1</v>
      </c>
      <c r="G641" s="3">
        <v>930.6</v>
      </c>
      <c r="H641" s="3">
        <v>837.5</v>
      </c>
      <c r="I641" s="3">
        <v>697.5</v>
      </c>
      <c r="J641" s="58">
        <v>29</v>
      </c>
      <c r="K641" s="8">
        <v>152499</v>
      </c>
      <c r="L641" s="3">
        <v>0</v>
      </c>
      <c r="M641" s="3">
        <v>0</v>
      </c>
      <c r="N641" s="8">
        <v>96004.91</v>
      </c>
      <c r="O641" s="63">
        <v>56494.09</v>
      </c>
      <c r="P641" s="3">
        <v>0</v>
      </c>
      <c r="Q641" s="3">
        <v>0</v>
      </c>
      <c r="R641" s="133">
        <v>2026</v>
      </c>
      <c r="S641" s="133">
        <v>2026</v>
      </c>
    </row>
    <row r="642" spans="1:19">
      <c r="A642" s="76">
        <v>210</v>
      </c>
      <c r="B642" s="121" t="s">
        <v>312</v>
      </c>
      <c r="C642" s="95">
        <v>1941</v>
      </c>
      <c r="D642" s="95" t="s">
        <v>132</v>
      </c>
      <c r="E642" s="95">
        <v>2</v>
      </c>
      <c r="F642" s="95">
        <v>2</v>
      </c>
      <c r="G642" s="3">
        <v>637.9</v>
      </c>
      <c r="H642" s="3">
        <v>591.6</v>
      </c>
      <c r="I642" s="3">
        <v>591.6</v>
      </c>
      <c r="J642" s="58">
        <v>19</v>
      </c>
      <c r="K642" s="8">
        <v>5292961.6500000004</v>
      </c>
      <c r="L642" s="3">
        <v>0</v>
      </c>
      <c r="M642" s="3">
        <v>0</v>
      </c>
      <c r="N642" s="8">
        <v>5292961.6500000004</v>
      </c>
      <c r="O642" s="3">
        <v>0</v>
      </c>
      <c r="P642" s="3">
        <v>0</v>
      </c>
      <c r="Q642" s="3">
        <v>0</v>
      </c>
      <c r="R642" s="133">
        <v>2024</v>
      </c>
      <c r="S642" s="133">
        <v>2026</v>
      </c>
    </row>
    <row r="643" spans="1:19">
      <c r="A643" s="76">
        <v>211</v>
      </c>
      <c r="B643" s="121" t="s">
        <v>313</v>
      </c>
      <c r="C643" s="95">
        <v>1964</v>
      </c>
      <c r="D643" s="95" t="s">
        <v>75</v>
      </c>
      <c r="E643" s="95">
        <v>4</v>
      </c>
      <c r="F643" s="95">
        <v>5</v>
      </c>
      <c r="G643" s="1">
        <v>2703.4</v>
      </c>
      <c r="H643" s="1">
        <v>2503.6</v>
      </c>
      <c r="I643" s="1">
        <v>2503.6</v>
      </c>
      <c r="J643" s="58">
        <v>102</v>
      </c>
      <c r="K643" s="8">
        <v>225321</v>
      </c>
      <c r="L643" s="3">
        <v>0</v>
      </c>
      <c r="M643" s="3">
        <v>0</v>
      </c>
      <c r="N643" s="8">
        <v>146528.6</v>
      </c>
      <c r="O643" s="8">
        <v>78792.399999999994</v>
      </c>
      <c r="P643" s="3">
        <v>0</v>
      </c>
      <c r="Q643" s="3">
        <v>0</v>
      </c>
      <c r="R643" s="133">
        <v>2026</v>
      </c>
      <c r="S643" s="133">
        <v>2026</v>
      </c>
    </row>
    <row r="644" spans="1:19" ht="45.75" customHeight="1">
      <c r="A644" s="158" t="s">
        <v>67</v>
      </c>
      <c r="B644" s="159"/>
      <c r="C644" s="159"/>
      <c r="D644" s="159"/>
      <c r="E644" s="159"/>
      <c r="F644" s="160"/>
      <c r="G644" s="1">
        <f>G645+G646</f>
        <v>2145.3000000000002</v>
      </c>
      <c r="H644" s="1">
        <f t="shared" ref="H644:N644" si="131">H645+H646</f>
        <v>1960.7</v>
      </c>
      <c r="I644" s="1">
        <f t="shared" si="131"/>
        <v>1654.5</v>
      </c>
      <c r="J644" s="13">
        <f t="shared" si="131"/>
        <v>56</v>
      </c>
      <c r="K644" s="1">
        <f t="shared" si="131"/>
        <v>7411714.3799999999</v>
      </c>
      <c r="L644" s="3">
        <v>0</v>
      </c>
      <c r="M644" s="3">
        <v>0</v>
      </c>
      <c r="N644" s="80">
        <f t="shared" si="131"/>
        <v>7411714.3799999999</v>
      </c>
      <c r="O644" s="3">
        <v>0</v>
      </c>
      <c r="P644" s="3">
        <v>0</v>
      </c>
      <c r="Q644" s="3">
        <v>0</v>
      </c>
      <c r="R644" s="133" t="s">
        <v>52</v>
      </c>
      <c r="S644" s="133" t="s">
        <v>52</v>
      </c>
    </row>
    <row r="645" spans="1:19" s="74" customFormat="1" ht="18.75" customHeight="1">
      <c r="A645" s="76">
        <v>212</v>
      </c>
      <c r="B645" s="121" t="s">
        <v>525</v>
      </c>
      <c r="C645" s="95">
        <v>1960</v>
      </c>
      <c r="D645" s="95" t="s">
        <v>75</v>
      </c>
      <c r="E645" s="95">
        <v>2</v>
      </c>
      <c r="F645" s="95">
        <v>2</v>
      </c>
      <c r="G645" s="3">
        <v>491.9</v>
      </c>
      <c r="H645" s="3">
        <v>450.3</v>
      </c>
      <c r="I645" s="3">
        <v>450.3</v>
      </c>
      <c r="J645" s="133">
        <v>11</v>
      </c>
      <c r="K645" s="8">
        <f>L645+M645+N645+O645+P645+Q645</f>
        <v>4723410.21</v>
      </c>
      <c r="L645" s="3">
        <v>0</v>
      </c>
      <c r="M645" s="3">
        <v>0</v>
      </c>
      <c r="N645" s="8">
        <v>4723410.21</v>
      </c>
      <c r="O645" s="3">
        <v>0</v>
      </c>
      <c r="P645" s="3">
        <v>0</v>
      </c>
      <c r="Q645" s="3">
        <v>0</v>
      </c>
      <c r="R645" s="133">
        <v>2025</v>
      </c>
      <c r="S645" s="133">
        <v>2026</v>
      </c>
    </row>
    <row r="646" spans="1:19" s="74" customFormat="1" ht="18.75" customHeight="1">
      <c r="A646" s="76">
        <v>213</v>
      </c>
      <c r="B646" s="121" t="s">
        <v>526</v>
      </c>
      <c r="C646" s="95">
        <v>1974</v>
      </c>
      <c r="D646" s="95" t="s">
        <v>75</v>
      </c>
      <c r="E646" s="95">
        <v>3</v>
      </c>
      <c r="F646" s="95">
        <v>3</v>
      </c>
      <c r="G646" s="1">
        <v>1653.4</v>
      </c>
      <c r="H646" s="1">
        <v>1510.4</v>
      </c>
      <c r="I646" s="1">
        <v>1204.2</v>
      </c>
      <c r="J646" s="133">
        <v>45</v>
      </c>
      <c r="K646" s="8">
        <v>2688304.17</v>
      </c>
      <c r="L646" s="3">
        <v>0</v>
      </c>
      <c r="M646" s="3">
        <v>0</v>
      </c>
      <c r="N646" s="8">
        <v>2688304.17</v>
      </c>
      <c r="O646" s="3">
        <v>0</v>
      </c>
      <c r="P646" s="3">
        <v>0</v>
      </c>
      <c r="Q646" s="3">
        <v>0</v>
      </c>
      <c r="R646" s="133">
        <v>2022</v>
      </c>
      <c r="S646" s="133">
        <v>2026</v>
      </c>
    </row>
    <row r="647" spans="1:19" s="74" customFormat="1" ht="30.75" customHeight="1">
      <c r="A647" s="158" t="s">
        <v>116</v>
      </c>
      <c r="B647" s="159"/>
      <c r="C647" s="159"/>
      <c r="D647" s="159"/>
      <c r="E647" s="159"/>
      <c r="F647" s="160"/>
      <c r="G647" s="1">
        <f>SUM(G648:G651)</f>
        <v>5573.3</v>
      </c>
      <c r="H647" s="1">
        <f t="shared" ref="H647:O647" si="132">SUM(H648:H651)</f>
        <v>5573.3</v>
      </c>
      <c r="I647" s="1">
        <f t="shared" si="132"/>
        <v>5032.6000000000004</v>
      </c>
      <c r="J647" s="13">
        <f t="shared" si="132"/>
        <v>180</v>
      </c>
      <c r="K647" s="1">
        <f t="shared" si="132"/>
        <v>15595538.050000001</v>
      </c>
      <c r="L647" s="3">
        <v>0</v>
      </c>
      <c r="M647" s="3">
        <v>0</v>
      </c>
      <c r="N647" s="80">
        <f t="shared" si="132"/>
        <v>11942252.799999999</v>
      </c>
      <c r="O647" s="80">
        <f t="shared" si="132"/>
        <v>3653285.25</v>
      </c>
      <c r="P647" s="3">
        <v>0</v>
      </c>
      <c r="Q647" s="3">
        <v>0</v>
      </c>
      <c r="R647" s="133" t="s">
        <v>52</v>
      </c>
      <c r="S647" s="133" t="s">
        <v>52</v>
      </c>
    </row>
    <row r="648" spans="1:19" s="74" customFormat="1" ht="18.75" customHeight="1">
      <c r="A648" s="76">
        <v>214</v>
      </c>
      <c r="B648" s="121" t="s">
        <v>121</v>
      </c>
      <c r="C648" s="95">
        <v>1983</v>
      </c>
      <c r="D648" s="95" t="s">
        <v>77</v>
      </c>
      <c r="E648" s="95">
        <v>3</v>
      </c>
      <c r="F648" s="95">
        <v>3</v>
      </c>
      <c r="G648" s="1">
        <v>1446.2</v>
      </c>
      <c r="H648" s="1">
        <v>1446.2</v>
      </c>
      <c r="I648" s="1">
        <v>1291</v>
      </c>
      <c r="J648" s="133">
        <v>38</v>
      </c>
      <c r="K648" s="8">
        <f>SUM(L648:Q648)</f>
        <v>5176709.83</v>
      </c>
      <c r="L648" s="3">
        <v>0</v>
      </c>
      <c r="M648" s="3">
        <v>0</v>
      </c>
      <c r="N648" s="8">
        <v>3242499.05</v>
      </c>
      <c r="O648" s="8">
        <v>1934210.78</v>
      </c>
      <c r="P648" s="3">
        <v>0</v>
      </c>
      <c r="Q648" s="3">
        <v>0</v>
      </c>
      <c r="R648" s="133">
        <v>2016</v>
      </c>
      <c r="S648" s="133">
        <v>2026</v>
      </c>
    </row>
    <row r="649" spans="1:19" s="74" customFormat="1" ht="18.75" customHeight="1">
      <c r="A649" s="76">
        <v>215</v>
      </c>
      <c r="B649" s="121" t="s">
        <v>122</v>
      </c>
      <c r="C649" s="95">
        <v>1974</v>
      </c>
      <c r="D649" s="95" t="s">
        <v>75</v>
      </c>
      <c r="E649" s="95">
        <v>2</v>
      </c>
      <c r="F649" s="95">
        <v>1</v>
      </c>
      <c r="G649" s="3">
        <v>801.1</v>
      </c>
      <c r="H649" s="3">
        <v>801.1</v>
      </c>
      <c r="I649" s="3">
        <v>720.7</v>
      </c>
      <c r="J649" s="133">
        <v>34</v>
      </c>
      <c r="K649" s="8">
        <f>SUM(L649:Q649)</f>
        <v>824736.36</v>
      </c>
      <c r="L649" s="3">
        <v>0</v>
      </c>
      <c r="M649" s="3">
        <v>0</v>
      </c>
      <c r="N649" s="8">
        <v>824736.36</v>
      </c>
      <c r="O649" s="3">
        <v>0</v>
      </c>
      <c r="P649" s="3">
        <v>0</v>
      </c>
      <c r="Q649" s="3">
        <v>0</v>
      </c>
      <c r="R649" s="133">
        <v>2026</v>
      </c>
      <c r="S649" s="133">
        <v>2026</v>
      </c>
    </row>
    <row r="650" spans="1:19" s="74" customFormat="1" ht="18.75" customHeight="1">
      <c r="A650" s="76">
        <v>216</v>
      </c>
      <c r="B650" s="121" t="s">
        <v>123</v>
      </c>
      <c r="C650" s="95">
        <v>1986</v>
      </c>
      <c r="D650" s="95" t="s">
        <v>75</v>
      </c>
      <c r="E650" s="95">
        <v>4</v>
      </c>
      <c r="F650" s="95">
        <v>2</v>
      </c>
      <c r="G650" s="1">
        <v>1738.1</v>
      </c>
      <c r="H650" s="1">
        <v>1738.1</v>
      </c>
      <c r="I650" s="1">
        <v>1727.3</v>
      </c>
      <c r="J650" s="133">
        <v>67</v>
      </c>
      <c r="K650" s="8">
        <f>SUM(L650:Q650)</f>
        <v>3716916.61</v>
      </c>
      <c r="L650" s="3">
        <v>0</v>
      </c>
      <c r="M650" s="3">
        <v>0</v>
      </c>
      <c r="N650" s="8">
        <v>3716916.61</v>
      </c>
      <c r="O650" s="3">
        <v>0</v>
      </c>
      <c r="P650" s="3">
        <v>0</v>
      </c>
      <c r="Q650" s="3">
        <v>0</v>
      </c>
      <c r="R650" s="133">
        <v>2026</v>
      </c>
      <c r="S650" s="133">
        <v>2026</v>
      </c>
    </row>
    <row r="651" spans="1:19" s="74" customFormat="1" ht="18.75" customHeight="1">
      <c r="A651" s="76">
        <v>217</v>
      </c>
      <c r="B651" s="121" t="s">
        <v>124</v>
      </c>
      <c r="C651" s="95">
        <v>1993</v>
      </c>
      <c r="D651" s="95" t="s">
        <v>77</v>
      </c>
      <c r="E651" s="95">
        <v>3</v>
      </c>
      <c r="F651" s="95">
        <v>2</v>
      </c>
      <c r="G651" s="1">
        <v>1587.9</v>
      </c>
      <c r="H651" s="1">
        <v>1587.9</v>
      </c>
      <c r="I651" s="1">
        <v>1293.5999999999999</v>
      </c>
      <c r="J651" s="133">
        <v>41</v>
      </c>
      <c r="K651" s="8">
        <f>SUM(L651:Q651)</f>
        <v>5877175.25</v>
      </c>
      <c r="L651" s="3">
        <v>0</v>
      </c>
      <c r="M651" s="3">
        <v>0</v>
      </c>
      <c r="N651" s="8">
        <v>4158100.78</v>
      </c>
      <c r="O651" s="8">
        <v>1719074.47</v>
      </c>
      <c r="P651" s="3">
        <v>0</v>
      </c>
      <c r="Q651" s="3">
        <v>0</v>
      </c>
      <c r="R651" s="133">
        <v>2025</v>
      </c>
      <c r="S651" s="133">
        <v>2026</v>
      </c>
    </row>
    <row r="652" spans="1:19" s="74" customFormat="1" ht="33.75" customHeight="1">
      <c r="A652" s="158" t="s">
        <v>271</v>
      </c>
      <c r="B652" s="159"/>
      <c r="C652" s="159"/>
      <c r="D652" s="159"/>
      <c r="E652" s="159"/>
      <c r="F652" s="160"/>
      <c r="G652" s="1">
        <f>G653</f>
        <v>789.1</v>
      </c>
      <c r="H652" s="1">
        <f t="shared" ref="H652:Q652" si="133">H653</f>
        <v>729.7</v>
      </c>
      <c r="I652" s="1">
        <f t="shared" si="133"/>
        <v>729.7</v>
      </c>
      <c r="J652" s="13">
        <f t="shared" si="133"/>
        <v>33</v>
      </c>
      <c r="K652" s="1">
        <f t="shared" si="133"/>
        <v>1298765.6000000001</v>
      </c>
      <c r="L652" s="3">
        <f t="shared" si="133"/>
        <v>0</v>
      </c>
      <c r="M652" s="3">
        <f t="shared" si="133"/>
        <v>0</v>
      </c>
      <c r="N652" s="1">
        <f t="shared" si="133"/>
        <v>1298765.6000000001</v>
      </c>
      <c r="O652" s="3">
        <f t="shared" si="133"/>
        <v>0</v>
      </c>
      <c r="P652" s="3">
        <f t="shared" si="133"/>
        <v>0</v>
      </c>
      <c r="Q652" s="3">
        <f t="shared" si="133"/>
        <v>0</v>
      </c>
      <c r="R652" s="133" t="s">
        <v>52</v>
      </c>
      <c r="S652" s="133" t="s">
        <v>52</v>
      </c>
    </row>
    <row r="653" spans="1:19" s="74" customFormat="1" ht="18.75" customHeight="1">
      <c r="A653" s="76">
        <v>218</v>
      </c>
      <c r="B653" s="14" t="s">
        <v>278</v>
      </c>
      <c r="C653" s="95">
        <v>1973</v>
      </c>
      <c r="D653" s="121" t="s">
        <v>86</v>
      </c>
      <c r="E653" s="95">
        <v>2</v>
      </c>
      <c r="F653" s="95">
        <v>2</v>
      </c>
      <c r="G653" s="3">
        <v>789.1</v>
      </c>
      <c r="H653" s="3">
        <v>729.7</v>
      </c>
      <c r="I653" s="3">
        <v>729.7</v>
      </c>
      <c r="J653" s="133">
        <v>33</v>
      </c>
      <c r="K653" s="8">
        <v>1298765.6000000001</v>
      </c>
      <c r="L653" s="8">
        <v>0</v>
      </c>
      <c r="M653" s="8">
        <v>0</v>
      </c>
      <c r="N653" s="8">
        <v>1298765.6000000001</v>
      </c>
      <c r="O653" s="8">
        <v>0</v>
      </c>
      <c r="P653" s="8">
        <v>0</v>
      </c>
      <c r="Q653" s="8">
        <v>0</v>
      </c>
      <c r="R653" s="133">
        <v>2026</v>
      </c>
      <c r="S653" s="133">
        <v>2026</v>
      </c>
    </row>
    <row r="654" spans="1:19" ht="36.75" customHeight="1">
      <c r="A654" s="158" t="s">
        <v>76</v>
      </c>
      <c r="B654" s="159"/>
      <c r="C654" s="159"/>
      <c r="D654" s="159"/>
      <c r="E654" s="159"/>
      <c r="F654" s="160"/>
      <c r="G654" s="1">
        <f>SUM(G655:G662)</f>
        <v>8526.4</v>
      </c>
      <c r="H654" s="1">
        <f>SUM(H655:H662)</f>
        <v>8173</v>
      </c>
      <c r="I654" s="1">
        <f>SUM(I655:I662)</f>
        <v>7493.3</v>
      </c>
      <c r="J654" s="13">
        <f>SUM(J655:J662)</f>
        <v>382</v>
      </c>
      <c r="K654" s="1">
        <f>SUM(K655:K662)</f>
        <v>50976925.57</v>
      </c>
      <c r="L654" s="3">
        <v>0</v>
      </c>
      <c r="M654" s="3">
        <v>0</v>
      </c>
      <c r="N654" s="80">
        <f>SUM(N655:N662)</f>
        <v>50976925.57</v>
      </c>
      <c r="O654" s="3">
        <v>0</v>
      </c>
      <c r="P654" s="3">
        <v>0</v>
      </c>
      <c r="Q654" s="3">
        <v>0</v>
      </c>
      <c r="R654" s="133" t="s">
        <v>52</v>
      </c>
      <c r="S654" s="133" t="s">
        <v>52</v>
      </c>
    </row>
    <row r="655" spans="1:19" ht="37.5">
      <c r="A655" s="76">
        <v>219</v>
      </c>
      <c r="B655" s="124" t="s">
        <v>527</v>
      </c>
      <c r="C655" s="95">
        <v>1982</v>
      </c>
      <c r="D655" s="76" t="s">
        <v>86</v>
      </c>
      <c r="E655" s="95">
        <v>2</v>
      </c>
      <c r="F655" s="95">
        <v>3</v>
      </c>
      <c r="G655" s="3">
        <v>939.1</v>
      </c>
      <c r="H655" s="3">
        <v>939.1</v>
      </c>
      <c r="I655" s="3">
        <v>854.1</v>
      </c>
      <c r="J655" s="133">
        <v>42</v>
      </c>
      <c r="K655" s="8">
        <f>L655+M655+N655+O655+P655+Q655</f>
        <v>9443095.2100000009</v>
      </c>
      <c r="L655" s="3">
        <v>0</v>
      </c>
      <c r="M655" s="3">
        <v>0</v>
      </c>
      <c r="N655" s="8">
        <v>9443095.2100000009</v>
      </c>
      <c r="O655" s="3">
        <v>0</v>
      </c>
      <c r="P655" s="3">
        <v>0</v>
      </c>
      <c r="Q655" s="3">
        <v>0</v>
      </c>
      <c r="R655" s="133">
        <v>2026</v>
      </c>
      <c r="S655" s="133">
        <v>2026</v>
      </c>
    </row>
    <row r="656" spans="1:19" ht="18.75" customHeight="1">
      <c r="A656" s="76">
        <v>220</v>
      </c>
      <c r="B656" s="121" t="s">
        <v>93</v>
      </c>
      <c r="C656" s="95">
        <v>1984</v>
      </c>
      <c r="D656" s="95" t="s">
        <v>77</v>
      </c>
      <c r="E656" s="95">
        <v>2</v>
      </c>
      <c r="F656" s="95">
        <v>3</v>
      </c>
      <c r="G656" s="3">
        <v>862.5</v>
      </c>
      <c r="H656" s="3">
        <v>579.1</v>
      </c>
      <c r="I656" s="3">
        <v>500.6</v>
      </c>
      <c r="J656" s="133">
        <v>54</v>
      </c>
      <c r="K656" s="8">
        <f>L656+M656+N656+O656+P656+Q656</f>
        <v>6164112.6200000001</v>
      </c>
      <c r="L656" s="3">
        <v>0</v>
      </c>
      <c r="M656" s="3">
        <v>0</v>
      </c>
      <c r="N656" s="8">
        <v>6164112.6200000001</v>
      </c>
      <c r="O656" s="3">
        <v>0</v>
      </c>
      <c r="P656" s="3">
        <v>0</v>
      </c>
      <c r="Q656" s="3">
        <v>0</v>
      </c>
      <c r="R656" s="133">
        <v>2026</v>
      </c>
      <c r="S656" s="133">
        <v>2026</v>
      </c>
    </row>
    <row r="657" spans="1:19" ht="25.5" customHeight="1">
      <c r="A657" s="76">
        <v>221</v>
      </c>
      <c r="B657" s="121" t="s">
        <v>87</v>
      </c>
      <c r="C657" s="95">
        <v>1914</v>
      </c>
      <c r="D657" s="76" t="s">
        <v>86</v>
      </c>
      <c r="E657" s="95">
        <v>2</v>
      </c>
      <c r="F657" s="95">
        <v>2</v>
      </c>
      <c r="G657" s="3">
        <v>337.2</v>
      </c>
      <c r="H657" s="3">
        <v>267.2</v>
      </c>
      <c r="I657" s="3">
        <v>267.2</v>
      </c>
      <c r="J657" s="133">
        <v>13</v>
      </c>
      <c r="K657" s="8">
        <v>3071323.73</v>
      </c>
      <c r="L657" s="3">
        <v>0</v>
      </c>
      <c r="M657" s="3">
        <v>0</v>
      </c>
      <c r="N657" s="8">
        <v>3071323.73</v>
      </c>
      <c r="O657" s="3">
        <v>0</v>
      </c>
      <c r="P657" s="3">
        <v>0</v>
      </c>
      <c r="Q657" s="3">
        <v>0</v>
      </c>
      <c r="R657" s="133">
        <v>2026</v>
      </c>
      <c r="S657" s="133">
        <v>2026</v>
      </c>
    </row>
    <row r="658" spans="1:19" ht="18.75" customHeight="1">
      <c r="A658" s="76">
        <v>222</v>
      </c>
      <c r="B658" s="121" t="s">
        <v>88</v>
      </c>
      <c r="C658" s="95">
        <v>1966</v>
      </c>
      <c r="D658" s="95" t="s">
        <v>75</v>
      </c>
      <c r="E658" s="95">
        <v>2</v>
      </c>
      <c r="F658" s="95">
        <v>2</v>
      </c>
      <c r="G658" s="3">
        <v>645.20000000000005</v>
      </c>
      <c r="H658" s="3">
        <v>645.20000000000005</v>
      </c>
      <c r="I658" s="3">
        <v>597.5</v>
      </c>
      <c r="J658" s="133">
        <v>26</v>
      </c>
      <c r="K658" s="8">
        <v>9128115.3200000003</v>
      </c>
      <c r="L658" s="3">
        <v>0</v>
      </c>
      <c r="M658" s="3">
        <v>0</v>
      </c>
      <c r="N658" s="8">
        <v>9128115.3200000003</v>
      </c>
      <c r="O658" s="3">
        <v>0</v>
      </c>
      <c r="P658" s="3">
        <v>0</v>
      </c>
      <c r="Q658" s="3">
        <v>0</v>
      </c>
      <c r="R658" s="133">
        <v>2026</v>
      </c>
      <c r="S658" s="133">
        <v>2026</v>
      </c>
    </row>
    <row r="659" spans="1:19" ht="18.75" customHeight="1">
      <c r="A659" s="76">
        <v>223</v>
      </c>
      <c r="B659" s="121" t="s">
        <v>89</v>
      </c>
      <c r="C659" s="95">
        <v>1975</v>
      </c>
      <c r="D659" s="95" t="s">
        <v>75</v>
      </c>
      <c r="E659" s="95">
        <v>4</v>
      </c>
      <c r="F659" s="95">
        <v>4</v>
      </c>
      <c r="G659" s="1">
        <v>2824.7</v>
      </c>
      <c r="H659" s="1">
        <v>2824.7</v>
      </c>
      <c r="I659" s="1">
        <v>2601.1999999999998</v>
      </c>
      <c r="J659" s="133">
        <v>110</v>
      </c>
      <c r="K659" s="8">
        <f>L659+M659+N659+O659+P659+Q659</f>
        <v>2258676.4500000002</v>
      </c>
      <c r="L659" s="3">
        <v>0</v>
      </c>
      <c r="M659" s="3">
        <v>0</v>
      </c>
      <c r="N659" s="8">
        <v>2258676.4500000002</v>
      </c>
      <c r="O659" s="3">
        <v>0</v>
      </c>
      <c r="P659" s="3">
        <v>0</v>
      </c>
      <c r="Q659" s="3">
        <v>0</v>
      </c>
      <c r="R659" s="133">
        <v>2026</v>
      </c>
      <c r="S659" s="133">
        <v>2026</v>
      </c>
    </row>
    <row r="660" spans="1:19" ht="18.75" customHeight="1">
      <c r="A660" s="76">
        <v>224</v>
      </c>
      <c r="B660" s="121" t="s">
        <v>528</v>
      </c>
      <c r="C660" s="95">
        <v>1985</v>
      </c>
      <c r="D660" s="95" t="s">
        <v>75</v>
      </c>
      <c r="E660" s="95">
        <v>3</v>
      </c>
      <c r="F660" s="95">
        <v>3</v>
      </c>
      <c r="G660" s="1">
        <v>1863</v>
      </c>
      <c r="H660" s="1">
        <v>1863</v>
      </c>
      <c r="I660" s="1">
        <v>1618</v>
      </c>
      <c r="J660" s="133">
        <v>80</v>
      </c>
      <c r="K660" s="8">
        <v>11033494.779999999</v>
      </c>
      <c r="L660" s="3">
        <v>0</v>
      </c>
      <c r="M660" s="3">
        <v>0</v>
      </c>
      <c r="N660" s="8">
        <v>11033494.779999999</v>
      </c>
      <c r="O660" s="3">
        <v>0</v>
      </c>
      <c r="P660" s="3">
        <v>0</v>
      </c>
      <c r="Q660" s="3">
        <v>0</v>
      </c>
      <c r="R660" s="133">
        <v>2026</v>
      </c>
      <c r="S660" s="133">
        <v>2026</v>
      </c>
    </row>
    <row r="661" spans="1:19" ht="18.75" customHeight="1">
      <c r="A661" s="76">
        <v>225</v>
      </c>
      <c r="B661" s="121" t="s">
        <v>529</v>
      </c>
      <c r="C661" s="95">
        <v>1958</v>
      </c>
      <c r="D661" s="95" t="s">
        <v>75</v>
      </c>
      <c r="E661" s="95">
        <v>2</v>
      </c>
      <c r="F661" s="95">
        <v>2</v>
      </c>
      <c r="G661" s="3">
        <v>527</v>
      </c>
      <c r="H661" s="3">
        <v>527</v>
      </c>
      <c r="I661" s="3">
        <v>527</v>
      </c>
      <c r="J661" s="133">
        <v>32</v>
      </c>
      <c r="K661" s="8">
        <f>L661+M661+N661+O661+P661+Q661</f>
        <v>7613111.4000000004</v>
      </c>
      <c r="L661" s="3">
        <v>0</v>
      </c>
      <c r="M661" s="3">
        <v>0</v>
      </c>
      <c r="N661" s="8">
        <v>7613111.4000000004</v>
      </c>
      <c r="O661" s="3">
        <v>0</v>
      </c>
      <c r="P661" s="3">
        <v>0</v>
      </c>
      <c r="Q661" s="3">
        <v>0</v>
      </c>
      <c r="R661" s="133">
        <v>2026</v>
      </c>
      <c r="S661" s="133">
        <v>2026</v>
      </c>
    </row>
    <row r="662" spans="1:19" ht="18.75" customHeight="1">
      <c r="A662" s="76">
        <v>226</v>
      </c>
      <c r="B662" s="121" t="s">
        <v>83</v>
      </c>
      <c r="C662" s="95">
        <v>1965</v>
      </c>
      <c r="D662" s="95" t="s">
        <v>75</v>
      </c>
      <c r="E662" s="95">
        <v>2</v>
      </c>
      <c r="F662" s="95">
        <v>2</v>
      </c>
      <c r="G662" s="3">
        <v>527.70000000000005</v>
      </c>
      <c r="H662" s="3">
        <v>527.70000000000005</v>
      </c>
      <c r="I662" s="3">
        <v>527.70000000000005</v>
      </c>
      <c r="J662" s="133">
        <v>25</v>
      </c>
      <c r="K662" s="8">
        <v>2264996.06</v>
      </c>
      <c r="L662" s="3">
        <v>0</v>
      </c>
      <c r="M662" s="3">
        <v>0</v>
      </c>
      <c r="N662" s="8">
        <v>2264996.06</v>
      </c>
      <c r="O662" s="3">
        <v>0</v>
      </c>
      <c r="P662" s="3">
        <v>0</v>
      </c>
      <c r="Q662" s="3">
        <v>0</v>
      </c>
      <c r="R662" s="133">
        <v>2026</v>
      </c>
      <c r="S662" s="133">
        <v>2026</v>
      </c>
    </row>
    <row r="663" spans="1:19" ht="35.25" customHeight="1">
      <c r="A663" s="158" t="s">
        <v>270</v>
      </c>
      <c r="B663" s="159"/>
      <c r="C663" s="159"/>
      <c r="D663" s="159"/>
      <c r="E663" s="159"/>
      <c r="F663" s="160"/>
      <c r="G663" s="1">
        <f t="shared" ref="G663:Q663" si="134">SUM(G664:G667)</f>
        <v>9203</v>
      </c>
      <c r="H663" s="1">
        <f t="shared" si="134"/>
        <v>8346.0999999999985</v>
      </c>
      <c r="I663" s="1">
        <f t="shared" si="134"/>
        <v>7453.25</v>
      </c>
      <c r="J663" s="13">
        <f t="shared" si="134"/>
        <v>301</v>
      </c>
      <c r="K663" s="1">
        <f t="shared" si="134"/>
        <v>16842908.759999998</v>
      </c>
      <c r="L663" s="3">
        <f t="shared" si="134"/>
        <v>0</v>
      </c>
      <c r="M663" s="3">
        <f t="shared" si="134"/>
        <v>0</v>
      </c>
      <c r="N663" s="63">
        <f t="shared" si="134"/>
        <v>16842908.759999998</v>
      </c>
      <c r="O663" s="3">
        <f t="shared" si="134"/>
        <v>0</v>
      </c>
      <c r="P663" s="3">
        <f t="shared" si="134"/>
        <v>0</v>
      </c>
      <c r="Q663" s="3">
        <f t="shared" si="134"/>
        <v>0</v>
      </c>
      <c r="R663" s="133" t="s">
        <v>52</v>
      </c>
      <c r="S663" s="133" t="s">
        <v>52</v>
      </c>
    </row>
    <row r="664" spans="1:19" ht="18.75" customHeight="1">
      <c r="A664" s="76">
        <v>227</v>
      </c>
      <c r="B664" s="88" t="s">
        <v>785</v>
      </c>
      <c r="C664" s="89">
        <v>1967</v>
      </c>
      <c r="D664" s="95" t="s">
        <v>75</v>
      </c>
      <c r="E664" s="90">
        <v>2</v>
      </c>
      <c r="F664" s="90">
        <v>3</v>
      </c>
      <c r="G664" s="3">
        <v>483.9</v>
      </c>
      <c r="H664" s="3">
        <v>483.2</v>
      </c>
      <c r="I664" s="3">
        <v>413.9</v>
      </c>
      <c r="J664" s="89">
        <v>22</v>
      </c>
      <c r="K664" s="91">
        <v>2223596.0299999998</v>
      </c>
      <c r="L664" s="1">
        <v>0</v>
      </c>
      <c r="M664" s="1">
        <v>0</v>
      </c>
      <c r="N664" s="1">
        <v>2223596.0299999998</v>
      </c>
      <c r="O664" s="3">
        <v>0</v>
      </c>
      <c r="P664" s="1">
        <v>0</v>
      </c>
      <c r="Q664" s="1">
        <v>0</v>
      </c>
      <c r="R664" s="128">
        <v>2022</v>
      </c>
      <c r="S664" s="128">
        <v>2026</v>
      </c>
    </row>
    <row r="665" spans="1:19" ht="18.75" customHeight="1">
      <c r="A665" s="76">
        <v>228</v>
      </c>
      <c r="B665" s="88" t="s">
        <v>786</v>
      </c>
      <c r="C665" s="89">
        <v>1967</v>
      </c>
      <c r="D665" s="95" t="s">
        <v>75</v>
      </c>
      <c r="E665" s="90">
        <v>2</v>
      </c>
      <c r="F665" s="90">
        <v>2</v>
      </c>
      <c r="G665" s="3">
        <v>579.70000000000005</v>
      </c>
      <c r="H665" s="3">
        <v>579.70000000000005</v>
      </c>
      <c r="I665" s="3">
        <v>484.5</v>
      </c>
      <c r="J665" s="89">
        <v>19</v>
      </c>
      <c r="K665" s="91">
        <v>1842411.89</v>
      </c>
      <c r="L665" s="1">
        <v>0</v>
      </c>
      <c r="M665" s="1">
        <v>0</v>
      </c>
      <c r="N665" s="1">
        <v>1842411.89</v>
      </c>
      <c r="O665" s="3">
        <v>0</v>
      </c>
      <c r="P665" s="1">
        <v>0</v>
      </c>
      <c r="Q665" s="1">
        <v>0</v>
      </c>
      <c r="R665" s="128">
        <v>2022</v>
      </c>
      <c r="S665" s="128">
        <v>2026</v>
      </c>
    </row>
    <row r="666" spans="1:19" ht="18.75" customHeight="1">
      <c r="A666" s="76">
        <v>229</v>
      </c>
      <c r="B666" s="71" t="s">
        <v>787</v>
      </c>
      <c r="C666" s="34">
        <v>1988</v>
      </c>
      <c r="D666" s="95" t="s">
        <v>75</v>
      </c>
      <c r="E666" s="35">
        <v>5</v>
      </c>
      <c r="F666" s="35">
        <v>6</v>
      </c>
      <c r="G666" s="1">
        <v>5279.4</v>
      </c>
      <c r="H666" s="1">
        <v>4721.5</v>
      </c>
      <c r="I666" s="1">
        <v>4249.3500000000004</v>
      </c>
      <c r="J666" s="34">
        <v>179</v>
      </c>
      <c r="K666" s="1">
        <v>8130755.0800000001</v>
      </c>
      <c r="L666" s="1">
        <v>0</v>
      </c>
      <c r="M666" s="1">
        <v>0</v>
      </c>
      <c r="N666" s="1">
        <v>8130755.0800000001</v>
      </c>
      <c r="O666" s="3">
        <v>0</v>
      </c>
      <c r="P666" s="1">
        <v>0</v>
      </c>
      <c r="Q666" s="1">
        <v>0</v>
      </c>
      <c r="R666" s="128">
        <v>2025</v>
      </c>
      <c r="S666" s="128">
        <v>2026</v>
      </c>
    </row>
    <row r="667" spans="1:19" ht="18.75" customHeight="1">
      <c r="A667" s="76">
        <v>230</v>
      </c>
      <c r="B667" s="71" t="s">
        <v>788</v>
      </c>
      <c r="C667" s="34">
        <v>1993</v>
      </c>
      <c r="D667" s="95" t="s">
        <v>75</v>
      </c>
      <c r="E667" s="35">
        <v>5</v>
      </c>
      <c r="F667" s="35">
        <v>4</v>
      </c>
      <c r="G667" s="1">
        <v>2860</v>
      </c>
      <c r="H667" s="1">
        <v>2561.6999999999998</v>
      </c>
      <c r="I667" s="1">
        <v>2305.5</v>
      </c>
      <c r="J667" s="34">
        <v>81</v>
      </c>
      <c r="K667" s="1">
        <v>4646145.76</v>
      </c>
      <c r="L667" s="1">
        <v>0</v>
      </c>
      <c r="M667" s="1">
        <v>0</v>
      </c>
      <c r="N667" s="1">
        <v>4646145.76</v>
      </c>
      <c r="O667" s="3">
        <v>0</v>
      </c>
      <c r="P667" s="1">
        <v>0</v>
      </c>
      <c r="Q667" s="1">
        <v>0</v>
      </c>
      <c r="R667" s="128">
        <v>2025</v>
      </c>
      <c r="S667" s="128">
        <v>2026</v>
      </c>
    </row>
    <row r="668" spans="1:19" ht="35.25" customHeight="1">
      <c r="A668" s="158" t="s">
        <v>161</v>
      </c>
      <c r="B668" s="159"/>
      <c r="C668" s="159"/>
      <c r="D668" s="159"/>
      <c r="E668" s="159"/>
      <c r="F668" s="160"/>
      <c r="G668" s="1">
        <f>SUM(G669:G692)</f>
        <v>18567.900000000001</v>
      </c>
      <c r="H668" s="1">
        <f t="shared" ref="H668:O668" si="135">SUM(H669:H692)</f>
        <v>17623.599999999999</v>
      </c>
      <c r="I668" s="1">
        <f t="shared" si="135"/>
        <v>13175.800000000001</v>
      </c>
      <c r="J668" s="13">
        <f t="shared" si="135"/>
        <v>744</v>
      </c>
      <c r="K668" s="1">
        <f t="shared" si="135"/>
        <v>94801467.950000003</v>
      </c>
      <c r="L668" s="3">
        <v>0</v>
      </c>
      <c r="M668" s="3">
        <v>0</v>
      </c>
      <c r="N668" s="63">
        <f t="shared" si="135"/>
        <v>50252043.130000003</v>
      </c>
      <c r="O668" s="63">
        <f t="shared" si="135"/>
        <v>44549424.820000008</v>
      </c>
      <c r="P668" s="3">
        <v>0</v>
      </c>
      <c r="Q668" s="3">
        <v>0</v>
      </c>
      <c r="R668" s="133" t="s">
        <v>52</v>
      </c>
      <c r="S668" s="133" t="s">
        <v>52</v>
      </c>
    </row>
    <row r="669" spans="1:19" ht="18.75" customHeight="1">
      <c r="A669" s="76">
        <v>231</v>
      </c>
      <c r="B669" s="7" t="s">
        <v>789</v>
      </c>
      <c r="C669" s="95" t="s">
        <v>163</v>
      </c>
      <c r="D669" s="95" t="s">
        <v>75</v>
      </c>
      <c r="E669" s="95">
        <v>2</v>
      </c>
      <c r="F669" s="95">
        <v>1</v>
      </c>
      <c r="G669" s="8">
        <v>394.7</v>
      </c>
      <c r="H669" s="8">
        <v>259.39999999999998</v>
      </c>
      <c r="I669" s="8">
        <v>259.39999999999998</v>
      </c>
      <c r="J669" s="133">
        <v>20</v>
      </c>
      <c r="K669" s="91">
        <v>3641084.34</v>
      </c>
      <c r="L669" s="8">
        <v>0</v>
      </c>
      <c r="M669" s="8">
        <v>0</v>
      </c>
      <c r="N669" s="91">
        <v>3641084.34</v>
      </c>
      <c r="O669" s="8">
        <v>0</v>
      </c>
      <c r="P669" s="8">
        <v>0</v>
      </c>
      <c r="Q669" s="8">
        <v>0</v>
      </c>
      <c r="R669" s="133">
        <v>2024</v>
      </c>
      <c r="S669" s="133">
        <v>2026</v>
      </c>
    </row>
    <row r="670" spans="1:19" ht="18.75" customHeight="1">
      <c r="A670" s="76">
        <v>232</v>
      </c>
      <c r="B670" s="7" t="s">
        <v>790</v>
      </c>
      <c r="C670" s="95">
        <v>1991</v>
      </c>
      <c r="D670" s="95" t="s">
        <v>75</v>
      </c>
      <c r="E670" s="95">
        <v>2</v>
      </c>
      <c r="F670" s="95">
        <v>2</v>
      </c>
      <c r="G670" s="8">
        <v>970.7</v>
      </c>
      <c r="H670" s="8">
        <v>970.7</v>
      </c>
      <c r="I670" s="8">
        <v>893.1</v>
      </c>
      <c r="J670" s="133">
        <v>71</v>
      </c>
      <c r="K670" s="91">
        <v>1711675.5</v>
      </c>
      <c r="L670" s="8">
        <v>0</v>
      </c>
      <c r="M670" s="8">
        <v>0</v>
      </c>
      <c r="N670" s="91">
        <v>1711675.5</v>
      </c>
      <c r="O670" s="8">
        <v>0</v>
      </c>
      <c r="P670" s="8">
        <v>0</v>
      </c>
      <c r="Q670" s="8">
        <v>0</v>
      </c>
      <c r="R670" s="133">
        <v>2026</v>
      </c>
      <c r="S670" s="133">
        <v>2026</v>
      </c>
    </row>
    <row r="671" spans="1:19" ht="18.75" customHeight="1">
      <c r="A671" s="76">
        <v>233</v>
      </c>
      <c r="B671" s="11" t="s">
        <v>791</v>
      </c>
      <c r="C671" s="95">
        <v>1985</v>
      </c>
      <c r="D671" s="95" t="s">
        <v>75</v>
      </c>
      <c r="E671" s="95">
        <v>3</v>
      </c>
      <c r="F671" s="95">
        <v>1</v>
      </c>
      <c r="G671" s="8">
        <v>454.2</v>
      </c>
      <c r="H671" s="8">
        <v>272.7</v>
      </c>
      <c r="I671" s="8">
        <v>272.7</v>
      </c>
      <c r="J671" s="133">
        <v>17</v>
      </c>
      <c r="K671" s="91">
        <v>6014006.1500000004</v>
      </c>
      <c r="L671" s="8">
        <v>0</v>
      </c>
      <c r="M671" s="8">
        <v>0</v>
      </c>
      <c r="N671" s="91">
        <v>6014006.1500000004</v>
      </c>
      <c r="O671" s="8">
        <v>0</v>
      </c>
      <c r="P671" s="8">
        <v>0</v>
      </c>
      <c r="Q671" s="8">
        <v>0</v>
      </c>
      <c r="R671" s="133">
        <v>2026</v>
      </c>
      <c r="S671" s="133">
        <v>2026</v>
      </c>
    </row>
    <row r="672" spans="1:19" ht="18.75" customHeight="1">
      <c r="A672" s="76">
        <v>234</v>
      </c>
      <c r="B672" s="7" t="s">
        <v>172</v>
      </c>
      <c r="C672" s="95" t="s">
        <v>163</v>
      </c>
      <c r="D672" s="95" t="s">
        <v>75</v>
      </c>
      <c r="E672" s="95">
        <v>2</v>
      </c>
      <c r="F672" s="95">
        <v>1</v>
      </c>
      <c r="G672" s="8">
        <v>264.5</v>
      </c>
      <c r="H672" s="8">
        <v>180</v>
      </c>
      <c r="I672" s="8">
        <v>180</v>
      </c>
      <c r="J672" s="133">
        <v>11</v>
      </c>
      <c r="K672" s="91">
        <v>2369603.29</v>
      </c>
      <c r="L672" s="8">
        <v>0</v>
      </c>
      <c r="M672" s="8">
        <v>0</v>
      </c>
      <c r="N672" s="91">
        <v>2369603.29</v>
      </c>
      <c r="O672" s="8">
        <v>0</v>
      </c>
      <c r="P672" s="8">
        <v>0</v>
      </c>
      <c r="Q672" s="8">
        <v>0</v>
      </c>
      <c r="R672" s="133">
        <v>2023</v>
      </c>
      <c r="S672" s="133">
        <v>2026</v>
      </c>
    </row>
    <row r="673" spans="1:19" ht="18.75" customHeight="1">
      <c r="A673" s="76">
        <v>235</v>
      </c>
      <c r="B673" s="7" t="s">
        <v>792</v>
      </c>
      <c r="C673" s="95" t="s">
        <v>163</v>
      </c>
      <c r="D673" s="95" t="s">
        <v>75</v>
      </c>
      <c r="E673" s="95">
        <v>1</v>
      </c>
      <c r="F673" s="95">
        <v>1</v>
      </c>
      <c r="G673" s="8">
        <v>248.2</v>
      </c>
      <c r="H673" s="8">
        <v>93.7</v>
      </c>
      <c r="I673" s="8">
        <v>93.7</v>
      </c>
      <c r="J673" s="133">
        <v>9</v>
      </c>
      <c r="K673" s="91">
        <v>2325658.92</v>
      </c>
      <c r="L673" s="8">
        <v>0</v>
      </c>
      <c r="M673" s="8">
        <v>0</v>
      </c>
      <c r="N673" s="91">
        <v>2325658.92</v>
      </c>
      <c r="O673" s="8">
        <v>0</v>
      </c>
      <c r="P673" s="8">
        <v>0</v>
      </c>
      <c r="Q673" s="8">
        <v>0</v>
      </c>
      <c r="R673" s="133">
        <v>2023</v>
      </c>
      <c r="S673" s="133">
        <v>2026</v>
      </c>
    </row>
    <row r="674" spans="1:19" ht="18.75" customHeight="1">
      <c r="A674" s="76">
        <v>236</v>
      </c>
      <c r="B674" s="121" t="s">
        <v>793</v>
      </c>
      <c r="C674" s="95" t="s">
        <v>163</v>
      </c>
      <c r="D674" s="95" t="s">
        <v>75</v>
      </c>
      <c r="E674" s="95">
        <v>2</v>
      </c>
      <c r="F674" s="95">
        <v>2</v>
      </c>
      <c r="G674" s="8">
        <v>606.6</v>
      </c>
      <c r="H674" s="8">
        <v>606.6</v>
      </c>
      <c r="I674" s="8">
        <v>374.2</v>
      </c>
      <c r="J674" s="133">
        <v>22</v>
      </c>
      <c r="K674" s="91">
        <v>2776829.46</v>
      </c>
      <c r="L674" s="8">
        <v>0</v>
      </c>
      <c r="M674" s="8">
        <v>0</v>
      </c>
      <c r="N674" s="91">
        <v>0</v>
      </c>
      <c r="O674" s="8">
        <v>2776829.46</v>
      </c>
      <c r="P674" s="8">
        <v>0</v>
      </c>
      <c r="Q674" s="8">
        <v>0</v>
      </c>
      <c r="R674" s="133">
        <v>2023</v>
      </c>
      <c r="S674" s="133">
        <v>2026</v>
      </c>
    </row>
    <row r="675" spans="1:19" ht="18.75" customHeight="1">
      <c r="A675" s="76">
        <v>237</v>
      </c>
      <c r="B675" s="12" t="s">
        <v>794</v>
      </c>
      <c r="C675" s="95" t="s">
        <v>163</v>
      </c>
      <c r="D675" s="95" t="s">
        <v>75</v>
      </c>
      <c r="E675" s="95">
        <v>2</v>
      </c>
      <c r="F675" s="95">
        <v>1</v>
      </c>
      <c r="G675" s="8">
        <v>457.6</v>
      </c>
      <c r="H675" s="8">
        <v>299.10000000000002</v>
      </c>
      <c r="I675" s="8">
        <v>299.10000000000002</v>
      </c>
      <c r="J675" s="133">
        <v>27</v>
      </c>
      <c r="K675" s="91">
        <v>3181912.5</v>
      </c>
      <c r="L675" s="8">
        <v>0</v>
      </c>
      <c r="M675" s="8">
        <v>0</v>
      </c>
      <c r="N675" s="91">
        <v>0</v>
      </c>
      <c r="O675" s="8">
        <v>3181912.5</v>
      </c>
      <c r="P675" s="8">
        <v>0</v>
      </c>
      <c r="Q675" s="8">
        <v>0</v>
      </c>
      <c r="R675" s="133">
        <v>2023</v>
      </c>
      <c r="S675" s="133">
        <v>2026</v>
      </c>
    </row>
    <row r="676" spans="1:19" ht="18.75" customHeight="1">
      <c r="A676" s="76">
        <v>238</v>
      </c>
      <c r="B676" s="7" t="s">
        <v>795</v>
      </c>
      <c r="C676" s="95" t="s">
        <v>163</v>
      </c>
      <c r="D676" s="95" t="s">
        <v>75</v>
      </c>
      <c r="E676" s="95">
        <v>1</v>
      </c>
      <c r="F676" s="95">
        <v>1</v>
      </c>
      <c r="G676" s="8">
        <v>251.1</v>
      </c>
      <c r="H676" s="8">
        <v>151.6</v>
      </c>
      <c r="I676" s="8">
        <v>151.6</v>
      </c>
      <c r="J676" s="133">
        <v>14</v>
      </c>
      <c r="K676" s="91">
        <v>3692524.2</v>
      </c>
      <c r="L676" s="8">
        <v>0</v>
      </c>
      <c r="M676" s="8">
        <v>0</v>
      </c>
      <c r="N676" s="91">
        <v>0</v>
      </c>
      <c r="O676" s="8">
        <v>3692524.2</v>
      </c>
      <c r="P676" s="8">
        <v>0</v>
      </c>
      <c r="Q676" s="8">
        <v>0</v>
      </c>
      <c r="R676" s="133">
        <v>2023</v>
      </c>
      <c r="S676" s="133">
        <v>2026</v>
      </c>
    </row>
    <row r="677" spans="1:19" ht="18.75" customHeight="1">
      <c r="A677" s="76">
        <v>239</v>
      </c>
      <c r="B677" s="7" t="s">
        <v>796</v>
      </c>
      <c r="C677" s="95" t="s">
        <v>163</v>
      </c>
      <c r="D677" s="95" t="s">
        <v>75</v>
      </c>
      <c r="E677" s="95">
        <v>2</v>
      </c>
      <c r="F677" s="95">
        <v>1</v>
      </c>
      <c r="G677" s="8">
        <v>267.3</v>
      </c>
      <c r="H677" s="8">
        <v>200.3</v>
      </c>
      <c r="I677" s="8">
        <v>200.3</v>
      </c>
      <c r="J677" s="133">
        <v>12</v>
      </c>
      <c r="K677" s="91">
        <v>2141566.12</v>
      </c>
      <c r="L677" s="8">
        <v>0</v>
      </c>
      <c r="M677" s="8">
        <v>0</v>
      </c>
      <c r="N677" s="91">
        <v>0</v>
      </c>
      <c r="O677" s="8">
        <v>2141566.12</v>
      </c>
      <c r="P677" s="8">
        <v>0</v>
      </c>
      <c r="Q677" s="8">
        <v>0</v>
      </c>
      <c r="R677" s="133">
        <v>2023</v>
      </c>
      <c r="S677" s="133">
        <v>2026</v>
      </c>
    </row>
    <row r="678" spans="1:19" ht="18.75" customHeight="1">
      <c r="A678" s="76">
        <v>240</v>
      </c>
      <c r="B678" s="7" t="s">
        <v>797</v>
      </c>
      <c r="C678" s="95" t="s">
        <v>163</v>
      </c>
      <c r="D678" s="95" t="s">
        <v>75</v>
      </c>
      <c r="E678" s="95">
        <v>2</v>
      </c>
      <c r="F678" s="95">
        <v>2</v>
      </c>
      <c r="G678" s="8">
        <v>452.9</v>
      </c>
      <c r="H678" s="8">
        <v>389.4</v>
      </c>
      <c r="I678" s="8">
        <v>389.4</v>
      </c>
      <c r="J678" s="133">
        <v>22</v>
      </c>
      <c r="K678" s="91">
        <v>3446603.42</v>
      </c>
      <c r="L678" s="8">
        <v>0</v>
      </c>
      <c r="M678" s="8">
        <v>0</v>
      </c>
      <c r="N678" s="91">
        <v>0</v>
      </c>
      <c r="O678" s="8">
        <v>3446603.42</v>
      </c>
      <c r="P678" s="8">
        <v>0</v>
      </c>
      <c r="Q678" s="8">
        <v>0</v>
      </c>
      <c r="R678" s="133">
        <v>2023</v>
      </c>
      <c r="S678" s="133">
        <v>2026</v>
      </c>
    </row>
    <row r="679" spans="1:19" ht="18.75" customHeight="1">
      <c r="A679" s="76">
        <v>241</v>
      </c>
      <c r="B679" s="121" t="s">
        <v>173</v>
      </c>
      <c r="C679" s="95">
        <v>1917</v>
      </c>
      <c r="D679" s="95" t="s">
        <v>132</v>
      </c>
      <c r="E679" s="95">
        <v>2</v>
      </c>
      <c r="F679" s="95">
        <v>2</v>
      </c>
      <c r="G679" s="8">
        <v>213.1</v>
      </c>
      <c r="H679" s="8">
        <v>213.1</v>
      </c>
      <c r="I679" s="8">
        <v>201.3</v>
      </c>
      <c r="J679" s="133">
        <v>10</v>
      </c>
      <c r="K679" s="91">
        <v>932425.32</v>
      </c>
      <c r="L679" s="8">
        <v>0</v>
      </c>
      <c r="M679" s="8">
        <v>0</v>
      </c>
      <c r="N679" s="91">
        <v>932425.32</v>
      </c>
      <c r="O679" s="8">
        <v>0</v>
      </c>
      <c r="P679" s="8">
        <v>0</v>
      </c>
      <c r="Q679" s="8">
        <v>0</v>
      </c>
      <c r="R679" s="133">
        <v>2016</v>
      </c>
      <c r="S679" s="133">
        <v>2026</v>
      </c>
    </row>
    <row r="680" spans="1:19" ht="18.75" customHeight="1">
      <c r="A680" s="76">
        <v>242</v>
      </c>
      <c r="B680" s="121" t="s">
        <v>174</v>
      </c>
      <c r="C680" s="95">
        <v>1975</v>
      </c>
      <c r="D680" s="95" t="s">
        <v>75</v>
      </c>
      <c r="E680" s="95">
        <v>2</v>
      </c>
      <c r="F680" s="95">
        <v>2</v>
      </c>
      <c r="G680" s="8">
        <v>333.5</v>
      </c>
      <c r="H680" s="8">
        <v>333.5</v>
      </c>
      <c r="I680" s="8">
        <v>302.5</v>
      </c>
      <c r="J680" s="133">
        <v>19</v>
      </c>
      <c r="K680" s="91">
        <v>1221986.53</v>
      </c>
      <c r="L680" s="8">
        <v>0</v>
      </c>
      <c r="M680" s="8">
        <v>0</v>
      </c>
      <c r="N680" s="91">
        <v>1221986.53</v>
      </c>
      <c r="O680" s="8">
        <v>0</v>
      </c>
      <c r="P680" s="8">
        <v>0</v>
      </c>
      <c r="Q680" s="8">
        <v>0</v>
      </c>
      <c r="R680" s="133">
        <v>2016</v>
      </c>
      <c r="S680" s="133">
        <v>2026</v>
      </c>
    </row>
    <row r="681" spans="1:19" ht="18.75" customHeight="1">
      <c r="A681" s="76">
        <v>243</v>
      </c>
      <c r="B681" s="7" t="s">
        <v>798</v>
      </c>
      <c r="C681" s="95" t="s">
        <v>163</v>
      </c>
      <c r="D681" s="95" t="s">
        <v>75</v>
      </c>
      <c r="E681" s="95">
        <v>1</v>
      </c>
      <c r="F681" s="95">
        <v>2</v>
      </c>
      <c r="G681" s="8">
        <v>333.1</v>
      </c>
      <c r="H681" s="8">
        <v>333.1</v>
      </c>
      <c r="I681" s="8">
        <v>231.8</v>
      </c>
      <c r="J681" s="133">
        <v>11</v>
      </c>
      <c r="K681" s="91">
        <v>3115034.31</v>
      </c>
      <c r="L681" s="8">
        <v>0</v>
      </c>
      <c r="M681" s="8">
        <v>0</v>
      </c>
      <c r="N681" s="91">
        <v>3115034.31</v>
      </c>
      <c r="O681" s="8">
        <v>0</v>
      </c>
      <c r="P681" s="8">
        <v>0</v>
      </c>
      <c r="Q681" s="8">
        <v>0</v>
      </c>
      <c r="R681" s="133">
        <v>2023</v>
      </c>
      <c r="S681" s="133">
        <v>2026</v>
      </c>
    </row>
    <row r="682" spans="1:19" ht="18.75" customHeight="1">
      <c r="A682" s="76">
        <v>244</v>
      </c>
      <c r="B682" s="7" t="s">
        <v>283</v>
      </c>
      <c r="C682" s="95">
        <v>1988</v>
      </c>
      <c r="D682" s="95" t="s">
        <v>75</v>
      </c>
      <c r="E682" s="95">
        <v>4</v>
      </c>
      <c r="F682" s="95">
        <v>1</v>
      </c>
      <c r="G682" s="8">
        <v>1590</v>
      </c>
      <c r="H682" s="8">
        <v>1590</v>
      </c>
      <c r="I682" s="8">
        <v>988.8</v>
      </c>
      <c r="J682" s="133">
        <v>99</v>
      </c>
      <c r="K682" s="91">
        <v>6792290.1100000003</v>
      </c>
      <c r="L682" s="8">
        <v>0</v>
      </c>
      <c r="M682" s="8">
        <v>0</v>
      </c>
      <c r="N682" s="91">
        <v>6792290.1100000003</v>
      </c>
      <c r="O682" s="8">
        <v>0</v>
      </c>
      <c r="P682" s="8">
        <v>0</v>
      </c>
      <c r="Q682" s="8">
        <v>0</v>
      </c>
      <c r="R682" s="133">
        <v>2018</v>
      </c>
      <c r="S682" s="133">
        <v>2026</v>
      </c>
    </row>
    <row r="683" spans="1:19" ht="18.75" customHeight="1">
      <c r="A683" s="76">
        <v>245</v>
      </c>
      <c r="B683" s="121" t="s">
        <v>799</v>
      </c>
      <c r="C683" s="95" t="s">
        <v>163</v>
      </c>
      <c r="D683" s="95" t="s">
        <v>75</v>
      </c>
      <c r="E683" s="76">
        <v>2</v>
      </c>
      <c r="F683" s="76">
        <v>2</v>
      </c>
      <c r="G683" s="1">
        <v>245</v>
      </c>
      <c r="H683" s="1">
        <v>245</v>
      </c>
      <c r="I683" s="1">
        <v>126</v>
      </c>
      <c r="J683" s="128">
        <v>7</v>
      </c>
      <c r="K683" s="91">
        <v>2390985.4700000002</v>
      </c>
      <c r="L683" s="8">
        <v>0</v>
      </c>
      <c r="M683" s="8">
        <v>0</v>
      </c>
      <c r="N683" s="91">
        <v>2390985.4700000002</v>
      </c>
      <c r="O683" s="8">
        <v>0</v>
      </c>
      <c r="P683" s="8">
        <v>0</v>
      </c>
      <c r="Q683" s="8">
        <v>0</v>
      </c>
      <c r="R683" s="133">
        <v>2023</v>
      </c>
      <c r="S683" s="133">
        <v>2026</v>
      </c>
    </row>
    <row r="684" spans="1:19" ht="18.75" customHeight="1">
      <c r="A684" s="76">
        <v>246</v>
      </c>
      <c r="B684" s="121" t="s">
        <v>800</v>
      </c>
      <c r="C684" s="95">
        <v>1938</v>
      </c>
      <c r="D684" s="95" t="s">
        <v>132</v>
      </c>
      <c r="E684" s="76">
        <v>2</v>
      </c>
      <c r="F684" s="76">
        <v>1</v>
      </c>
      <c r="G684" s="1">
        <v>488.7</v>
      </c>
      <c r="H684" s="1">
        <v>488.7</v>
      </c>
      <c r="I684" s="1">
        <v>353.6</v>
      </c>
      <c r="J684" s="128">
        <v>15</v>
      </c>
      <c r="K684" s="91">
        <v>443764.06</v>
      </c>
      <c r="L684" s="8">
        <v>0</v>
      </c>
      <c r="M684" s="8">
        <v>0</v>
      </c>
      <c r="N684" s="91">
        <v>443764.06</v>
      </c>
      <c r="O684" s="8">
        <v>0</v>
      </c>
      <c r="P684" s="8">
        <v>0</v>
      </c>
      <c r="Q684" s="8">
        <v>0</v>
      </c>
      <c r="R684" s="133">
        <v>2020</v>
      </c>
      <c r="S684" s="133">
        <v>2026</v>
      </c>
    </row>
    <row r="685" spans="1:19" ht="18.75" customHeight="1">
      <c r="A685" s="76">
        <v>247</v>
      </c>
      <c r="B685" s="10" t="s">
        <v>176</v>
      </c>
      <c r="C685" s="95">
        <v>1917</v>
      </c>
      <c r="D685" s="95" t="s">
        <v>75</v>
      </c>
      <c r="E685" s="95">
        <v>3</v>
      </c>
      <c r="F685" s="95">
        <v>1</v>
      </c>
      <c r="G685" s="8">
        <v>534.29999999999995</v>
      </c>
      <c r="H685" s="8">
        <v>534.29999999999995</v>
      </c>
      <c r="I685" s="8">
        <v>266.3</v>
      </c>
      <c r="J685" s="133">
        <v>14</v>
      </c>
      <c r="K685" s="91">
        <v>12149238.09</v>
      </c>
      <c r="L685" s="8">
        <v>0</v>
      </c>
      <c r="M685" s="8">
        <v>0</v>
      </c>
      <c r="N685" s="91">
        <v>1646831.78</v>
      </c>
      <c r="O685" s="8">
        <v>10502406.310000001</v>
      </c>
      <c r="P685" s="8">
        <v>0</v>
      </c>
      <c r="Q685" s="8">
        <v>0</v>
      </c>
      <c r="R685" s="133">
        <v>2024</v>
      </c>
      <c r="S685" s="133">
        <v>2026</v>
      </c>
    </row>
    <row r="686" spans="1:19" ht="18.75" customHeight="1">
      <c r="A686" s="76">
        <v>248</v>
      </c>
      <c r="B686" s="10" t="s">
        <v>177</v>
      </c>
      <c r="C686" s="95">
        <v>1917</v>
      </c>
      <c r="D686" s="95" t="s">
        <v>75</v>
      </c>
      <c r="E686" s="95">
        <v>3</v>
      </c>
      <c r="F686" s="95">
        <v>1</v>
      </c>
      <c r="G686" s="8">
        <v>456.8</v>
      </c>
      <c r="H686" s="8">
        <v>456.8</v>
      </c>
      <c r="I686" s="8">
        <v>296.7</v>
      </c>
      <c r="J686" s="133">
        <v>18</v>
      </c>
      <c r="K686" s="91">
        <v>11167948.289999999</v>
      </c>
      <c r="L686" s="8">
        <v>0</v>
      </c>
      <c r="M686" s="8">
        <v>0</v>
      </c>
      <c r="N686" s="91">
        <v>1639242.69</v>
      </c>
      <c r="O686" s="8">
        <v>9528705.5999999996</v>
      </c>
      <c r="P686" s="8">
        <v>0</v>
      </c>
      <c r="Q686" s="8">
        <v>0</v>
      </c>
      <c r="R686" s="133">
        <v>2024</v>
      </c>
      <c r="S686" s="133">
        <v>2026</v>
      </c>
    </row>
    <row r="687" spans="1:19" ht="18.75" customHeight="1">
      <c r="A687" s="76">
        <v>249</v>
      </c>
      <c r="B687" s="7" t="s">
        <v>178</v>
      </c>
      <c r="C687" s="95" t="s">
        <v>163</v>
      </c>
      <c r="D687" s="95" t="s">
        <v>75</v>
      </c>
      <c r="E687" s="95">
        <v>2</v>
      </c>
      <c r="F687" s="95">
        <v>4</v>
      </c>
      <c r="G687" s="8">
        <v>410.9</v>
      </c>
      <c r="H687" s="8">
        <v>410.9</v>
      </c>
      <c r="I687" s="8">
        <v>216</v>
      </c>
      <c r="J687" s="133">
        <v>16</v>
      </c>
      <c r="K687" s="91">
        <v>4140595.63</v>
      </c>
      <c r="L687" s="8">
        <v>0</v>
      </c>
      <c r="M687" s="8">
        <v>0</v>
      </c>
      <c r="N687" s="91">
        <v>1630796.17</v>
      </c>
      <c r="O687" s="8">
        <v>2509799.46</v>
      </c>
      <c r="P687" s="8">
        <v>0</v>
      </c>
      <c r="Q687" s="8">
        <v>0</v>
      </c>
      <c r="R687" s="133">
        <v>2024</v>
      </c>
      <c r="S687" s="133">
        <v>2026</v>
      </c>
    </row>
    <row r="688" spans="1:19" ht="18.75" customHeight="1">
      <c r="A688" s="76">
        <v>250</v>
      </c>
      <c r="B688" s="7" t="s">
        <v>801</v>
      </c>
      <c r="C688" s="95" t="s">
        <v>163</v>
      </c>
      <c r="D688" s="95" t="s">
        <v>75</v>
      </c>
      <c r="E688" s="76">
        <v>2</v>
      </c>
      <c r="F688" s="76">
        <v>3</v>
      </c>
      <c r="G688" s="1">
        <v>256.89999999999998</v>
      </c>
      <c r="H688" s="1">
        <v>256.89999999999998</v>
      </c>
      <c r="I688" s="1">
        <v>169.9</v>
      </c>
      <c r="J688" s="128">
        <v>14</v>
      </c>
      <c r="K688" s="91">
        <v>2736091.34</v>
      </c>
      <c r="L688" s="8">
        <v>0</v>
      </c>
      <c r="M688" s="8">
        <v>0</v>
      </c>
      <c r="N688" s="91">
        <v>2736091.34</v>
      </c>
      <c r="O688" s="8">
        <v>0</v>
      </c>
      <c r="P688" s="8">
        <v>0</v>
      </c>
      <c r="Q688" s="8">
        <v>0</v>
      </c>
      <c r="R688" s="133">
        <v>2023</v>
      </c>
      <c r="S688" s="133">
        <v>2026</v>
      </c>
    </row>
    <row r="689" spans="1:19" ht="18.75" customHeight="1">
      <c r="A689" s="76">
        <v>251</v>
      </c>
      <c r="B689" s="7" t="s">
        <v>802</v>
      </c>
      <c r="C689" s="95">
        <v>1978</v>
      </c>
      <c r="D689" s="76" t="s">
        <v>77</v>
      </c>
      <c r="E689" s="95">
        <v>5</v>
      </c>
      <c r="F689" s="95">
        <v>6</v>
      </c>
      <c r="G689" s="8">
        <v>4393.5</v>
      </c>
      <c r="H689" s="8">
        <v>4393.5</v>
      </c>
      <c r="I689" s="8">
        <v>2915.9</v>
      </c>
      <c r="J689" s="133">
        <v>145</v>
      </c>
      <c r="K689" s="91">
        <v>7160195.9400000004</v>
      </c>
      <c r="L689" s="8">
        <v>0</v>
      </c>
      <c r="M689" s="8">
        <v>0</v>
      </c>
      <c r="N689" s="91">
        <v>4752006.0199999996</v>
      </c>
      <c r="O689" s="8">
        <v>2408189.92</v>
      </c>
      <c r="P689" s="8">
        <v>0</v>
      </c>
      <c r="Q689" s="8">
        <v>0</v>
      </c>
      <c r="R689" s="133">
        <v>2021</v>
      </c>
      <c r="S689" s="133">
        <v>2026</v>
      </c>
    </row>
    <row r="690" spans="1:19" ht="18.75" customHeight="1">
      <c r="A690" s="76">
        <v>252</v>
      </c>
      <c r="B690" s="7" t="s">
        <v>803</v>
      </c>
      <c r="C690" s="95">
        <v>1969</v>
      </c>
      <c r="D690" s="95" t="s">
        <v>75</v>
      </c>
      <c r="E690" s="76">
        <v>4</v>
      </c>
      <c r="F690" s="76">
        <v>3</v>
      </c>
      <c r="G690" s="1">
        <v>2694</v>
      </c>
      <c r="H690" s="1">
        <v>2694</v>
      </c>
      <c r="I690" s="1">
        <v>2005.1</v>
      </c>
      <c r="J690" s="128">
        <v>82</v>
      </c>
      <c r="K690" s="91">
        <v>5926492.2199999997</v>
      </c>
      <c r="L690" s="8">
        <v>0</v>
      </c>
      <c r="M690" s="8">
        <v>0</v>
      </c>
      <c r="N690" s="91">
        <v>2720952.52</v>
      </c>
      <c r="O690" s="8">
        <v>3205539.7</v>
      </c>
      <c r="P690" s="8">
        <v>0</v>
      </c>
      <c r="Q690" s="8">
        <v>0</v>
      </c>
      <c r="R690" s="133">
        <v>2021</v>
      </c>
      <c r="S690" s="133">
        <v>2026</v>
      </c>
    </row>
    <row r="691" spans="1:19" ht="18.75" customHeight="1">
      <c r="A691" s="76">
        <v>253</v>
      </c>
      <c r="B691" s="7" t="s">
        <v>804</v>
      </c>
      <c r="C691" s="95">
        <v>1981</v>
      </c>
      <c r="D691" s="95" t="s">
        <v>75</v>
      </c>
      <c r="E691" s="95">
        <v>5</v>
      </c>
      <c r="F691" s="95">
        <v>2</v>
      </c>
      <c r="G691" s="8">
        <v>2000.8</v>
      </c>
      <c r="H691" s="8">
        <v>2000.8</v>
      </c>
      <c r="I691" s="8">
        <v>1846.6</v>
      </c>
      <c r="J691" s="133">
        <v>61</v>
      </c>
      <c r="K691" s="91">
        <v>2977733.71</v>
      </c>
      <c r="L691" s="8">
        <v>0</v>
      </c>
      <c r="M691" s="8">
        <v>0</v>
      </c>
      <c r="N691" s="91">
        <v>1822385.58</v>
      </c>
      <c r="O691" s="8">
        <v>1155348.1299999999</v>
      </c>
      <c r="P691" s="8">
        <v>0</v>
      </c>
      <c r="Q691" s="8">
        <v>0</v>
      </c>
      <c r="R691" s="133">
        <v>2023</v>
      </c>
      <c r="S691" s="133">
        <v>2026</v>
      </c>
    </row>
    <row r="692" spans="1:19" ht="18.75" customHeight="1">
      <c r="A692" s="76">
        <v>254</v>
      </c>
      <c r="B692" s="7" t="s">
        <v>805</v>
      </c>
      <c r="C692" s="95">
        <v>1933</v>
      </c>
      <c r="D692" s="95" t="s">
        <v>132</v>
      </c>
      <c r="E692" s="95">
        <v>2</v>
      </c>
      <c r="F692" s="95">
        <v>1</v>
      </c>
      <c r="G692" s="8">
        <v>249.5</v>
      </c>
      <c r="H692" s="8">
        <v>249.5</v>
      </c>
      <c r="I692" s="8">
        <v>141.80000000000001</v>
      </c>
      <c r="J692" s="133">
        <v>8</v>
      </c>
      <c r="K692" s="91">
        <v>2345223.0299999998</v>
      </c>
      <c r="L692" s="8">
        <v>0</v>
      </c>
      <c r="M692" s="8">
        <v>0</v>
      </c>
      <c r="N692" s="91">
        <v>2345223.0299999998</v>
      </c>
      <c r="O692" s="8">
        <v>0</v>
      </c>
      <c r="P692" s="8">
        <v>0</v>
      </c>
      <c r="Q692" s="8">
        <v>0</v>
      </c>
      <c r="R692" s="133">
        <v>2023</v>
      </c>
      <c r="S692" s="133">
        <v>2026</v>
      </c>
    </row>
    <row r="693" spans="1:19" ht="39.75" customHeight="1">
      <c r="A693" s="165" t="s">
        <v>143</v>
      </c>
      <c r="B693" s="165"/>
      <c r="C693" s="165"/>
      <c r="D693" s="165"/>
      <c r="E693" s="165"/>
      <c r="F693" s="165"/>
      <c r="G693" s="1">
        <f>SUM(G694:G702)</f>
        <v>12165.900000000001</v>
      </c>
      <c r="H693" s="1">
        <f t="shared" ref="H693:O693" si="136">SUM(H694:H702)</f>
        <v>9510.68</v>
      </c>
      <c r="I693" s="1">
        <f t="shared" si="136"/>
        <v>8056.68</v>
      </c>
      <c r="J693" s="13">
        <f t="shared" si="136"/>
        <v>248</v>
      </c>
      <c r="K693" s="1">
        <f t="shared" si="136"/>
        <v>46919815.789999992</v>
      </c>
      <c r="L693" s="3">
        <v>0</v>
      </c>
      <c r="M693" s="3">
        <v>0</v>
      </c>
      <c r="N693" s="63">
        <f t="shared" si="136"/>
        <v>42437426.969999999</v>
      </c>
      <c r="O693" s="63">
        <f t="shared" si="136"/>
        <v>4482388.82</v>
      </c>
      <c r="P693" s="3">
        <v>0</v>
      </c>
      <c r="Q693" s="3">
        <v>0</v>
      </c>
      <c r="R693" s="133" t="s">
        <v>52</v>
      </c>
      <c r="S693" s="133" t="s">
        <v>52</v>
      </c>
    </row>
    <row r="694" spans="1:19" ht="18.75" customHeight="1">
      <c r="A694" s="76">
        <v>255</v>
      </c>
      <c r="B694" s="121" t="s">
        <v>145</v>
      </c>
      <c r="C694" s="95">
        <v>1959</v>
      </c>
      <c r="D694" s="95" t="s">
        <v>75</v>
      </c>
      <c r="E694" s="95">
        <v>2</v>
      </c>
      <c r="F694" s="95">
        <v>3</v>
      </c>
      <c r="G694" s="3">
        <v>973.8</v>
      </c>
      <c r="H694" s="3">
        <v>880.5</v>
      </c>
      <c r="I694" s="3">
        <v>742.1</v>
      </c>
      <c r="J694" s="133">
        <v>46</v>
      </c>
      <c r="K694" s="91">
        <f>L694+M694+N694+O694+P694+Q694</f>
        <v>1568181.42</v>
      </c>
      <c r="L694" s="3">
        <v>0</v>
      </c>
      <c r="M694" s="3">
        <v>0</v>
      </c>
      <c r="N694" s="1">
        <v>962024.44</v>
      </c>
      <c r="O694" s="1">
        <v>606156.98</v>
      </c>
      <c r="P694" s="3">
        <v>0</v>
      </c>
      <c r="Q694" s="3">
        <v>0</v>
      </c>
      <c r="R694" s="133">
        <v>2024</v>
      </c>
      <c r="S694" s="133">
        <v>2026</v>
      </c>
    </row>
    <row r="695" spans="1:19" ht="18.75" customHeight="1">
      <c r="A695" s="76">
        <v>256</v>
      </c>
      <c r="B695" s="121" t="s">
        <v>146</v>
      </c>
      <c r="C695" s="95">
        <v>1957</v>
      </c>
      <c r="D695" s="95" t="s">
        <v>75</v>
      </c>
      <c r="E695" s="95">
        <v>2</v>
      </c>
      <c r="F695" s="95">
        <v>2</v>
      </c>
      <c r="G695" s="3">
        <v>747.7</v>
      </c>
      <c r="H695" s="3">
        <v>747.7</v>
      </c>
      <c r="I695" s="3">
        <v>694.9</v>
      </c>
      <c r="J695" s="133">
        <v>18</v>
      </c>
      <c r="K695" s="91">
        <f>L695+M695+N695+O695+P695+Q695</f>
        <v>3216656.5300000003</v>
      </c>
      <c r="L695" s="3">
        <v>0</v>
      </c>
      <c r="M695" s="3">
        <v>0</v>
      </c>
      <c r="N695" s="1">
        <v>1885617.82</v>
      </c>
      <c r="O695" s="1">
        <v>1331038.71</v>
      </c>
      <c r="P695" s="3">
        <v>0</v>
      </c>
      <c r="Q695" s="3">
        <v>0</v>
      </c>
      <c r="R695" s="133">
        <v>2026</v>
      </c>
      <c r="S695" s="133">
        <v>2026</v>
      </c>
    </row>
    <row r="696" spans="1:19" ht="18.75" customHeight="1">
      <c r="A696" s="76">
        <v>257</v>
      </c>
      <c r="B696" s="121" t="s">
        <v>147</v>
      </c>
      <c r="C696" s="95">
        <v>1962</v>
      </c>
      <c r="D696" s="95" t="s">
        <v>75</v>
      </c>
      <c r="E696" s="95">
        <v>2</v>
      </c>
      <c r="F696" s="95">
        <v>2</v>
      </c>
      <c r="G696" s="3">
        <v>704.6</v>
      </c>
      <c r="H696" s="3">
        <v>655.98</v>
      </c>
      <c r="I696" s="3">
        <v>655.98</v>
      </c>
      <c r="J696" s="133">
        <v>14</v>
      </c>
      <c r="K696" s="91">
        <f>L696+M696+N696+O696+P696+Q696</f>
        <v>2822070.83</v>
      </c>
      <c r="L696" s="3">
        <v>0</v>
      </c>
      <c r="M696" s="3">
        <v>0</v>
      </c>
      <c r="N696" s="1">
        <v>1671856.61</v>
      </c>
      <c r="O696" s="1">
        <v>1150214.22</v>
      </c>
      <c r="P696" s="3">
        <v>0</v>
      </c>
      <c r="Q696" s="3">
        <v>0</v>
      </c>
      <c r="R696" s="133">
        <v>2026</v>
      </c>
      <c r="S696" s="133">
        <v>2026</v>
      </c>
    </row>
    <row r="697" spans="1:19" ht="18.75" customHeight="1">
      <c r="A697" s="76">
        <v>258</v>
      </c>
      <c r="B697" s="121" t="s">
        <v>530</v>
      </c>
      <c r="C697" s="95">
        <v>1971</v>
      </c>
      <c r="D697" s="95" t="s">
        <v>75</v>
      </c>
      <c r="E697" s="95">
        <v>2</v>
      </c>
      <c r="F697" s="95">
        <v>2</v>
      </c>
      <c r="G697" s="3">
        <v>529.9</v>
      </c>
      <c r="H697" s="3">
        <v>529.9</v>
      </c>
      <c r="I697" s="3">
        <v>529.9</v>
      </c>
      <c r="J697" s="133">
        <v>9</v>
      </c>
      <c r="K697" s="91">
        <v>4641418.05</v>
      </c>
      <c r="L697" s="3">
        <v>0</v>
      </c>
      <c r="M697" s="3">
        <v>0</v>
      </c>
      <c r="N697" s="1">
        <v>3246439.14</v>
      </c>
      <c r="O697" s="1">
        <v>1394978.91</v>
      </c>
      <c r="P697" s="3">
        <v>0</v>
      </c>
      <c r="Q697" s="3">
        <v>0</v>
      </c>
      <c r="R697" s="133">
        <v>2021</v>
      </c>
      <c r="S697" s="133">
        <v>2026</v>
      </c>
    </row>
    <row r="698" spans="1:19" ht="18.75" customHeight="1">
      <c r="A698" s="76">
        <v>259</v>
      </c>
      <c r="B698" s="121" t="s">
        <v>148</v>
      </c>
      <c r="C698" s="95">
        <v>1953</v>
      </c>
      <c r="D698" s="95" t="s">
        <v>75</v>
      </c>
      <c r="E698" s="95">
        <v>5</v>
      </c>
      <c r="F698" s="95">
        <v>4</v>
      </c>
      <c r="G698" s="3">
        <v>6366.5</v>
      </c>
      <c r="H698" s="3">
        <v>4514.3</v>
      </c>
      <c r="I698" s="3">
        <v>3565.9</v>
      </c>
      <c r="J698" s="133">
        <v>96</v>
      </c>
      <c r="K698" s="91">
        <v>14320499.720000001</v>
      </c>
      <c r="L698" s="3">
        <v>0</v>
      </c>
      <c r="M698" s="3">
        <v>0</v>
      </c>
      <c r="N698" s="91">
        <v>14320499.720000001</v>
      </c>
      <c r="O698" s="3">
        <v>0</v>
      </c>
      <c r="P698" s="3">
        <v>0</v>
      </c>
      <c r="Q698" s="3">
        <v>0</v>
      </c>
      <c r="R698" s="133">
        <v>2024</v>
      </c>
      <c r="S698" s="133">
        <v>2026</v>
      </c>
    </row>
    <row r="699" spans="1:19" ht="18.75" customHeight="1">
      <c r="A699" s="76">
        <v>260</v>
      </c>
      <c r="B699" s="121" t="s">
        <v>149</v>
      </c>
      <c r="C699" s="95">
        <v>1956</v>
      </c>
      <c r="D699" s="95" t="s">
        <v>75</v>
      </c>
      <c r="E699" s="95">
        <v>2</v>
      </c>
      <c r="F699" s="95">
        <v>2</v>
      </c>
      <c r="G699" s="3">
        <v>557.9</v>
      </c>
      <c r="H699" s="3">
        <v>557.9</v>
      </c>
      <c r="I699" s="3">
        <v>288.8</v>
      </c>
      <c r="J699" s="133">
        <v>23</v>
      </c>
      <c r="K699" s="91">
        <v>4668180.37</v>
      </c>
      <c r="L699" s="3">
        <v>0</v>
      </c>
      <c r="M699" s="3">
        <v>0</v>
      </c>
      <c r="N699" s="91">
        <v>4668180.37</v>
      </c>
      <c r="O699" s="3">
        <v>0</v>
      </c>
      <c r="P699" s="3">
        <v>0</v>
      </c>
      <c r="Q699" s="3">
        <v>0</v>
      </c>
      <c r="R699" s="133">
        <v>2024</v>
      </c>
      <c r="S699" s="133">
        <v>2026</v>
      </c>
    </row>
    <row r="700" spans="1:19" ht="18.75" customHeight="1">
      <c r="A700" s="76">
        <v>261</v>
      </c>
      <c r="B700" s="121" t="s">
        <v>150</v>
      </c>
      <c r="C700" s="95">
        <v>1961</v>
      </c>
      <c r="D700" s="95" t="s">
        <v>75</v>
      </c>
      <c r="E700" s="95">
        <v>2</v>
      </c>
      <c r="F700" s="95">
        <v>2</v>
      </c>
      <c r="G700" s="3">
        <v>507.7</v>
      </c>
      <c r="H700" s="3">
        <v>446</v>
      </c>
      <c r="I700" s="3">
        <v>400.7</v>
      </c>
      <c r="J700" s="133">
        <v>14</v>
      </c>
      <c r="K700" s="91">
        <v>4366254.8</v>
      </c>
      <c r="L700" s="3">
        <v>0</v>
      </c>
      <c r="M700" s="3">
        <v>0</v>
      </c>
      <c r="N700" s="91">
        <v>4366254.8</v>
      </c>
      <c r="O700" s="3">
        <v>0</v>
      </c>
      <c r="P700" s="3">
        <v>0</v>
      </c>
      <c r="Q700" s="3">
        <v>0</v>
      </c>
      <c r="R700" s="133">
        <v>2025</v>
      </c>
      <c r="S700" s="133">
        <v>2026</v>
      </c>
    </row>
    <row r="701" spans="1:19" ht="18.75" customHeight="1">
      <c r="A701" s="76">
        <v>262</v>
      </c>
      <c r="B701" s="121" t="s">
        <v>151</v>
      </c>
      <c r="C701" s="95">
        <v>1959</v>
      </c>
      <c r="D701" s="95" t="s">
        <v>75</v>
      </c>
      <c r="E701" s="95">
        <v>2</v>
      </c>
      <c r="F701" s="95">
        <v>2</v>
      </c>
      <c r="G701" s="3">
        <v>1279.5999999999999</v>
      </c>
      <c r="H701" s="3">
        <v>722.4</v>
      </c>
      <c r="I701" s="3">
        <v>722.4</v>
      </c>
      <c r="J701" s="133">
        <v>12</v>
      </c>
      <c r="K701" s="91">
        <v>7003460.6600000001</v>
      </c>
      <c r="L701" s="3">
        <v>0</v>
      </c>
      <c r="M701" s="3">
        <v>0</v>
      </c>
      <c r="N701" s="91">
        <v>7003460.6600000001</v>
      </c>
      <c r="O701" s="3">
        <v>0</v>
      </c>
      <c r="P701" s="3">
        <v>0</v>
      </c>
      <c r="Q701" s="3">
        <v>0</v>
      </c>
      <c r="R701" s="133">
        <v>2025</v>
      </c>
      <c r="S701" s="133">
        <v>2026</v>
      </c>
    </row>
    <row r="702" spans="1:19" ht="18.75" customHeight="1">
      <c r="A702" s="76">
        <v>263</v>
      </c>
      <c r="B702" s="121" t="s">
        <v>152</v>
      </c>
      <c r="C702" s="95">
        <v>1960</v>
      </c>
      <c r="D702" s="95" t="s">
        <v>75</v>
      </c>
      <c r="E702" s="95">
        <v>2</v>
      </c>
      <c r="F702" s="95">
        <v>2</v>
      </c>
      <c r="G702" s="3">
        <v>498.2</v>
      </c>
      <c r="H702" s="3">
        <v>456</v>
      </c>
      <c r="I702" s="3">
        <v>456</v>
      </c>
      <c r="J702" s="133">
        <v>16</v>
      </c>
      <c r="K702" s="91">
        <v>4313093.41</v>
      </c>
      <c r="L702" s="3">
        <v>0</v>
      </c>
      <c r="M702" s="3">
        <v>0</v>
      </c>
      <c r="N702" s="91">
        <v>4313093.41</v>
      </c>
      <c r="O702" s="3">
        <v>0</v>
      </c>
      <c r="P702" s="3">
        <v>0</v>
      </c>
      <c r="Q702" s="3">
        <v>0</v>
      </c>
      <c r="R702" s="133">
        <v>2025</v>
      </c>
      <c r="S702" s="133">
        <v>2026</v>
      </c>
    </row>
    <row r="703" spans="1:19" ht="33.75" customHeight="1">
      <c r="A703" s="158" t="s">
        <v>233</v>
      </c>
      <c r="B703" s="159"/>
      <c r="C703" s="159"/>
      <c r="D703" s="159"/>
      <c r="E703" s="159"/>
      <c r="F703" s="160"/>
      <c r="G703" s="1">
        <f>SUM(G704:G721)</f>
        <v>29426.3</v>
      </c>
      <c r="H703" s="1">
        <f t="shared" ref="H703:Q703" si="137">SUM(H704:H721)</f>
        <v>27377.600000000002</v>
      </c>
      <c r="I703" s="1">
        <f t="shared" si="137"/>
        <v>23025.7</v>
      </c>
      <c r="J703" s="13">
        <f t="shared" si="137"/>
        <v>1201</v>
      </c>
      <c r="K703" s="1">
        <f t="shared" si="137"/>
        <v>99294461.309999987</v>
      </c>
      <c r="L703" s="3">
        <f t="shared" si="137"/>
        <v>0</v>
      </c>
      <c r="M703" s="3">
        <f t="shared" si="137"/>
        <v>0</v>
      </c>
      <c r="N703" s="63">
        <f t="shared" si="137"/>
        <v>76193723.149999991</v>
      </c>
      <c r="O703" s="63">
        <f t="shared" si="137"/>
        <v>23100738.16</v>
      </c>
      <c r="P703" s="3">
        <f t="shared" si="137"/>
        <v>0</v>
      </c>
      <c r="Q703" s="3">
        <f t="shared" si="137"/>
        <v>0</v>
      </c>
      <c r="R703" s="133" t="s">
        <v>52</v>
      </c>
      <c r="S703" s="133" t="s">
        <v>52</v>
      </c>
    </row>
    <row r="704" spans="1:19" ht="18.75" customHeight="1">
      <c r="A704" s="76">
        <v>264</v>
      </c>
      <c r="B704" s="121" t="s">
        <v>531</v>
      </c>
      <c r="C704" s="76">
        <v>1968</v>
      </c>
      <c r="D704" s="95" t="s">
        <v>132</v>
      </c>
      <c r="E704" s="76">
        <v>2</v>
      </c>
      <c r="F704" s="76">
        <v>2</v>
      </c>
      <c r="G704" s="1">
        <v>830.6</v>
      </c>
      <c r="H704" s="1">
        <v>776.8</v>
      </c>
      <c r="I704" s="1">
        <v>606.6</v>
      </c>
      <c r="J704" s="15">
        <v>24</v>
      </c>
      <c r="K704" s="91">
        <v>5311236.8099999996</v>
      </c>
      <c r="L704" s="1">
        <v>0</v>
      </c>
      <c r="M704" s="1">
        <v>0</v>
      </c>
      <c r="N704" s="1">
        <v>0</v>
      </c>
      <c r="O704" s="1">
        <v>5311236.8099999996</v>
      </c>
      <c r="P704" s="1">
        <v>0</v>
      </c>
      <c r="Q704" s="1">
        <v>0</v>
      </c>
      <c r="R704" s="128">
        <v>2026</v>
      </c>
      <c r="S704" s="128">
        <v>2026</v>
      </c>
    </row>
    <row r="705" spans="1:19" ht="18.75" customHeight="1">
      <c r="A705" s="76">
        <v>265</v>
      </c>
      <c r="B705" s="31" t="s">
        <v>533</v>
      </c>
      <c r="C705" s="122">
        <v>1956</v>
      </c>
      <c r="D705" s="76" t="s">
        <v>118</v>
      </c>
      <c r="E705" s="122">
        <v>2</v>
      </c>
      <c r="F705" s="122">
        <v>2</v>
      </c>
      <c r="G705" s="26">
        <v>607.79999999999995</v>
      </c>
      <c r="H705" s="26">
        <v>607.79999999999995</v>
      </c>
      <c r="I705" s="26">
        <v>607.79999999999995</v>
      </c>
      <c r="J705" s="27">
        <v>21</v>
      </c>
      <c r="K705" s="91">
        <v>5414896.5300000003</v>
      </c>
      <c r="L705" s="1">
        <v>0</v>
      </c>
      <c r="M705" s="1">
        <v>0</v>
      </c>
      <c r="N705" s="26">
        <v>5414896.5300000003</v>
      </c>
      <c r="O705" s="1">
        <v>0</v>
      </c>
      <c r="P705" s="1">
        <v>0</v>
      </c>
      <c r="Q705" s="1">
        <v>0</v>
      </c>
      <c r="R705" s="132">
        <v>2026</v>
      </c>
      <c r="S705" s="128">
        <v>2026</v>
      </c>
    </row>
    <row r="706" spans="1:19" ht="18.75" customHeight="1">
      <c r="A706" s="76">
        <v>266</v>
      </c>
      <c r="B706" s="121" t="s">
        <v>532</v>
      </c>
      <c r="C706" s="76">
        <v>1950</v>
      </c>
      <c r="D706" s="95" t="s">
        <v>75</v>
      </c>
      <c r="E706" s="76">
        <v>2</v>
      </c>
      <c r="F706" s="76">
        <v>1</v>
      </c>
      <c r="G706" s="1">
        <v>3390.7</v>
      </c>
      <c r="H706" s="1">
        <v>3115.7</v>
      </c>
      <c r="I706" s="1">
        <v>3115.7</v>
      </c>
      <c r="J706" s="15">
        <v>126</v>
      </c>
      <c r="K706" s="91">
        <v>4092423.52</v>
      </c>
      <c r="L706" s="1">
        <v>0</v>
      </c>
      <c r="M706" s="1">
        <v>0</v>
      </c>
      <c r="N706" s="1">
        <v>4092423.52</v>
      </c>
      <c r="O706" s="1">
        <v>0</v>
      </c>
      <c r="P706" s="1">
        <v>0</v>
      </c>
      <c r="Q706" s="1">
        <v>0</v>
      </c>
      <c r="R706" s="128">
        <v>2026</v>
      </c>
      <c r="S706" s="128">
        <v>2026</v>
      </c>
    </row>
    <row r="707" spans="1:19" ht="18.75" customHeight="1">
      <c r="A707" s="76">
        <v>267</v>
      </c>
      <c r="B707" s="121" t="s">
        <v>534</v>
      </c>
      <c r="C707" s="76">
        <v>1958</v>
      </c>
      <c r="D707" s="95" t="s">
        <v>75</v>
      </c>
      <c r="E707" s="76">
        <v>2</v>
      </c>
      <c r="F707" s="76">
        <v>2</v>
      </c>
      <c r="G707" s="8">
        <v>624.70000000000005</v>
      </c>
      <c r="H707" s="8">
        <v>624.70000000000005</v>
      </c>
      <c r="I707" s="1">
        <v>578.5</v>
      </c>
      <c r="J707" s="15">
        <v>24</v>
      </c>
      <c r="K707" s="91">
        <v>4642493.3899999997</v>
      </c>
      <c r="L707" s="1">
        <v>0</v>
      </c>
      <c r="M707" s="1">
        <v>0</v>
      </c>
      <c r="N707" s="1">
        <v>4642493.3899999997</v>
      </c>
      <c r="O707" s="1">
        <v>0</v>
      </c>
      <c r="P707" s="1">
        <v>0</v>
      </c>
      <c r="Q707" s="1">
        <v>0</v>
      </c>
      <c r="R707" s="128">
        <v>2026</v>
      </c>
      <c r="S707" s="128">
        <v>2026</v>
      </c>
    </row>
    <row r="708" spans="1:19" ht="18.75" customHeight="1">
      <c r="A708" s="76">
        <v>268</v>
      </c>
      <c r="B708" s="121" t="s">
        <v>806</v>
      </c>
      <c r="C708" s="76">
        <v>1985</v>
      </c>
      <c r="D708" s="95" t="s">
        <v>75</v>
      </c>
      <c r="E708" s="76">
        <v>5</v>
      </c>
      <c r="F708" s="76">
        <v>4</v>
      </c>
      <c r="G708" s="8">
        <v>3093.5</v>
      </c>
      <c r="H708" s="8">
        <v>3093.5</v>
      </c>
      <c r="I708" s="1">
        <v>2811.4</v>
      </c>
      <c r="J708" s="15">
        <v>107</v>
      </c>
      <c r="K708" s="91">
        <v>5575374.9100000001</v>
      </c>
      <c r="L708" s="1">
        <v>0</v>
      </c>
      <c r="M708" s="1">
        <v>0</v>
      </c>
      <c r="N708" s="1">
        <v>5575374.9100000001</v>
      </c>
      <c r="O708" s="1">
        <v>0</v>
      </c>
      <c r="P708" s="1">
        <v>0</v>
      </c>
      <c r="Q708" s="1">
        <v>0</v>
      </c>
      <c r="R708" s="128">
        <v>2026</v>
      </c>
      <c r="S708" s="128">
        <v>2026</v>
      </c>
    </row>
    <row r="709" spans="1:19" ht="18.75" customHeight="1">
      <c r="A709" s="76">
        <v>269</v>
      </c>
      <c r="B709" s="121" t="s">
        <v>807</v>
      </c>
      <c r="C709" s="76">
        <v>1967</v>
      </c>
      <c r="D709" s="95" t="s">
        <v>75</v>
      </c>
      <c r="E709" s="76">
        <v>3</v>
      </c>
      <c r="F709" s="76">
        <v>3</v>
      </c>
      <c r="G709" s="8">
        <v>1614.3</v>
      </c>
      <c r="H709" s="8">
        <v>1614.3</v>
      </c>
      <c r="I709" s="1">
        <v>1506.3</v>
      </c>
      <c r="J709" s="15">
        <v>60</v>
      </c>
      <c r="K709" s="91">
        <v>7994268.4900000002</v>
      </c>
      <c r="L709" s="1">
        <v>0</v>
      </c>
      <c r="M709" s="1">
        <v>0</v>
      </c>
      <c r="N709" s="1">
        <v>7994268.4900000002</v>
      </c>
      <c r="O709" s="1">
        <v>0</v>
      </c>
      <c r="P709" s="1">
        <v>0</v>
      </c>
      <c r="Q709" s="1">
        <v>0</v>
      </c>
      <c r="R709" s="128">
        <v>2026</v>
      </c>
      <c r="S709" s="128">
        <v>2026</v>
      </c>
    </row>
    <row r="710" spans="1:19" ht="18.75" customHeight="1">
      <c r="A710" s="76">
        <v>270</v>
      </c>
      <c r="B710" s="121" t="s">
        <v>808</v>
      </c>
      <c r="C710" s="76">
        <v>1982</v>
      </c>
      <c r="D710" s="95" t="s">
        <v>75</v>
      </c>
      <c r="E710" s="76">
        <v>5</v>
      </c>
      <c r="F710" s="76">
        <v>2</v>
      </c>
      <c r="G710" s="8">
        <v>1698.2</v>
      </c>
      <c r="H710" s="8">
        <v>1698.2</v>
      </c>
      <c r="I710" s="1">
        <v>1535.2</v>
      </c>
      <c r="J710" s="15">
        <v>52</v>
      </c>
      <c r="K710" s="91">
        <v>8596024.9900000002</v>
      </c>
      <c r="L710" s="1">
        <v>0</v>
      </c>
      <c r="M710" s="1">
        <v>0</v>
      </c>
      <c r="N710" s="1">
        <v>8596024.9900000002</v>
      </c>
      <c r="O710" s="1">
        <v>0</v>
      </c>
      <c r="P710" s="1">
        <v>0</v>
      </c>
      <c r="Q710" s="1">
        <v>0</v>
      </c>
      <c r="R710" s="128">
        <v>2026</v>
      </c>
      <c r="S710" s="128">
        <v>2026</v>
      </c>
    </row>
    <row r="711" spans="1:19" ht="18.75" customHeight="1">
      <c r="A711" s="76">
        <v>271</v>
      </c>
      <c r="B711" s="121" t="s">
        <v>531</v>
      </c>
      <c r="C711" s="76">
        <v>1968</v>
      </c>
      <c r="D711" s="76" t="s">
        <v>132</v>
      </c>
      <c r="E711" s="76">
        <v>2</v>
      </c>
      <c r="F711" s="76">
        <v>2</v>
      </c>
      <c r="G711" s="1">
        <v>830.6</v>
      </c>
      <c r="H711" s="1">
        <v>776.8</v>
      </c>
      <c r="I711" s="1">
        <v>606.6</v>
      </c>
      <c r="J711" s="15">
        <v>24</v>
      </c>
      <c r="K711" s="91">
        <v>7016841.4100000001</v>
      </c>
      <c r="L711" s="1">
        <v>0</v>
      </c>
      <c r="M711" s="1">
        <v>0</v>
      </c>
      <c r="N711" s="1">
        <v>7016841.4100000001</v>
      </c>
      <c r="O711" s="1">
        <v>0</v>
      </c>
      <c r="P711" s="1">
        <v>0</v>
      </c>
      <c r="Q711" s="1">
        <v>0</v>
      </c>
      <c r="R711" s="128">
        <v>2026</v>
      </c>
      <c r="S711" s="128">
        <v>2026</v>
      </c>
    </row>
    <row r="712" spans="1:19" ht="18.75" customHeight="1">
      <c r="A712" s="76">
        <v>272</v>
      </c>
      <c r="B712" s="121" t="s">
        <v>535</v>
      </c>
      <c r="C712" s="76">
        <v>1972</v>
      </c>
      <c r="D712" s="95" t="s">
        <v>75</v>
      </c>
      <c r="E712" s="76">
        <v>3</v>
      </c>
      <c r="F712" s="76">
        <v>2</v>
      </c>
      <c r="G712" s="1">
        <v>971.2</v>
      </c>
      <c r="H712" s="1">
        <v>971.2</v>
      </c>
      <c r="I712" s="1">
        <v>971.2</v>
      </c>
      <c r="J712" s="15">
        <v>52</v>
      </c>
      <c r="K712" s="91">
        <v>3806377.72</v>
      </c>
      <c r="L712" s="1">
        <v>0</v>
      </c>
      <c r="M712" s="1">
        <v>0</v>
      </c>
      <c r="N712" s="1">
        <v>1806908</v>
      </c>
      <c r="O712" s="1">
        <v>1999469.72</v>
      </c>
      <c r="P712" s="1">
        <v>0</v>
      </c>
      <c r="Q712" s="1">
        <v>0</v>
      </c>
      <c r="R712" s="128">
        <v>2023</v>
      </c>
      <c r="S712" s="128">
        <v>2026</v>
      </c>
    </row>
    <row r="713" spans="1:19" ht="18.75" customHeight="1">
      <c r="A713" s="76">
        <v>273</v>
      </c>
      <c r="B713" s="121" t="s">
        <v>257</v>
      </c>
      <c r="C713" s="76">
        <v>1968</v>
      </c>
      <c r="D713" s="95" t="s">
        <v>75</v>
      </c>
      <c r="E713" s="76">
        <v>3</v>
      </c>
      <c r="F713" s="76">
        <v>2</v>
      </c>
      <c r="G713" s="1">
        <v>1044.5</v>
      </c>
      <c r="H713" s="1">
        <v>972.7</v>
      </c>
      <c r="I713" s="1">
        <v>972.7</v>
      </c>
      <c r="J713" s="15">
        <v>53</v>
      </c>
      <c r="K713" s="91">
        <v>6390248.8399999999</v>
      </c>
      <c r="L713" s="1">
        <v>0</v>
      </c>
      <c r="M713" s="1">
        <v>0</v>
      </c>
      <c r="N713" s="1">
        <v>1866925.32</v>
      </c>
      <c r="O713" s="1">
        <v>4523323.5199999996</v>
      </c>
      <c r="P713" s="1">
        <v>0</v>
      </c>
      <c r="Q713" s="1">
        <v>0</v>
      </c>
      <c r="R713" s="128">
        <v>2020</v>
      </c>
      <c r="S713" s="128">
        <v>2026</v>
      </c>
    </row>
    <row r="714" spans="1:19" ht="18.75" customHeight="1">
      <c r="A714" s="76">
        <v>274</v>
      </c>
      <c r="B714" s="121" t="s">
        <v>258</v>
      </c>
      <c r="C714" s="76">
        <v>1986</v>
      </c>
      <c r="D714" s="76" t="s">
        <v>77</v>
      </c>
      <c r="E714" s="76">
        <v>2</v>
      </c>
      <c r="F714" s="76">
        <v>2</v>
      </c>
      <c r="G714" s="1">
        <v>627.1</v>
      </c>
      <c r="H714" s="1">
        <v>530.1</v>
      </c>
      <c r="I714" s="1">
        <v>530.1</v>
      </c>
      <c r="J714" s="15">
        <v>33</v>
      </c>
      <c r="K714" s="91">
        <v>1039583</v>
      </c>
      <c r="L714" s="1">
        <v>0</v>
      </c>
      <c r="M714" s="1">
        <v>0</v>
      </c>
      <c r="N714" s="1">
        <v>1039583</v>
      </c>
      <c r="O714" s="1">
        <v>0</v>
      </c>
      <c r="P714" s="1">
        <v>0</v>
      </c>
      <c r="Q714" s="1">
        <v>0</v>
      </c>
      <c r="R714" s="128">
        <v>2023</v>
      </c>
      <c r="S714" s="128">
        <v>2026</v>
      </c>
    </row>
    <row r="715" spans="1:19" ht="18.75" customHeight="1">
      <c r="A715" s="76">
        <v>275</v>
      </c>
      <c r="B715" s="121" t="s">
        <v>259</v>
      </c>
      <c r="C715" s="76">
        <v>1972</v>
      </c>
      <c r="D715" s="95" t="s">
        <v>75</v>
      </c>
      <c r="E715" s="76">
        <v>3</v>
      </c>
      <c r="F715" s="76">
        <v>2</v>
      </c>
      <c r="G715" s="1">
        <v>1028</v>
      </c>
      <c r="H715" s="1">
        <v>955</v>
      </c>
      <c r="I715" s="1">
        <v>955</v>
      </c>
      <c r="J715" s="15">
        <v>47</v>
      </c>
      <c r="K715" s="91">
        <v>6389537.4500000002</v>
      </c>
      <c r="L715" s="1">
        <v>0</v>
      </c>
      <c r="M715" s="1">
        <v>0</v>
      </c>
      <c r="N715" s="1">
        <v>1857131.23</v>
      </c>
      <c r="O715" s="1">
        <v>4532406.22</v>
      </c>
      <c r="P715" s="1">
        <v>0</v>
      </c>
      <c r="Q715" s="1">
        <v>0</v>
      </c>
      <c r="R715" s="128">
        <v>2018</v>
      </c>
      <c r="S715" s="128">
        <v>2026</v>
      </c>
    </row>
    <row r="716" spans="1:19" ht="18.75" customHeight="1">
      <c r="A716" s="76">
        <v>276</v>
      </c>
      <c r="B716" s="121" t="s">
        <v>260</v>
      </c>
      <c r="C716" s="76">
        <v>1962</v>
      </c>
      <c r="D716" s="95" t="s">
        <v>75</v>
      </c>
      <c r="E716" s="76">
        <v>3</v>
      </c>
      <c r="F716" s="76">
        <v>2</v>
      </c>
      <c r="G716" s="1">
        <v>1039.2</v>
      </c>
      <c r="H716" s="1">
        <v>967.8</v>
      </c>
      <c r="I716" s="1">
        <v>967.8</v>
      </c>
      <c r="J716" s="15">
        <v>48</v>
      </c>
      <c r="K716" s="91">
        <v>6529318.21</v>
      </c>
      <c r="L716" s="1">
        <v>0</v>
      </c>
      <c r="M716" s="1">
        <v>0</v>
      </c>
      <c r="N716" s="1">
        <v>1936330.91</v>
      </c>
      <c r="O716" s="1">
        <v>4592987.3</v>
      </c>
      <c r="P716" s="1">
        <v>0</v>
      </c>
      <c r="Q716" s="1">
        <v>0</v>
      </c>
      <c r="R716" s="128">
        <v>2020</v>
      </c>
      <c r="S716" s="128">
        <v>2026</v>
      </c>
    </row>
    <row r="717" spans="1:19" ht="18.75" customHeight="1">
      <c r="A717" s="76">
        <v>277</v>
      </c>
      <c r="B717" s="121" t="s">
        <v>536</v>
      </c>
      <c r="C717" s="76">
        <v>1984</v>
      </c>
      <c r="D717" s="95" t="s">
        <v>75</v>
      </c>
      <c r="E717" s="76">
        <v>3</v>
      </c>
      <c r="F717" s="76">
        <v>2</v>
      </c>
      <c r="G717" s="1">
        <v>1130.0999999999999</v>
      </c>
      <c r="H717" s="1">
        <v>1039.4000000000001</v>
      </c>
      <c r="I717" s="1">
        <v>923.5</v>
      </c>
      <c r="J717" s="15">
        <v>48</v>
      </c>
      <c r="K717" s="91">
        <v>8658154.5199999996</v>
      </c>
      <c r="L717" s="1">
        <v>0</v>
      </c>
      <c r="M717" s="1">
        <v>0</v>
      </c>
      <c r="N717" s="1">
        <v>8658154.5199999996</v>
      </c>
      <c r="O717" s="1">
        <v>0</v>
      </c>
      <c r="P717" s="1">
        <v>0</v>
      </c>
      <c r="Q717" s="1">
        <v>0</v>
      </c>
      <c r="R717" s="128">
        <v>2026</v>
      </c>
      <c r="S717" s="128">
        <v>2026</v>
      </c>
    </row>
    <row r="718" spans="1:19" ht="18.75" customHeight="1">
      <c r="A718" s="76">
        <v>278</v>
      </c>
      <c r="B718" s="124" t="s">
        <v>537</v>
      </c>
      <c r="C718" s="76">
        <v>1972</v>
      </c>
      <c r="D718" s="95" t="s">
        <v>75</v>
      </c>
      <c r="E718" s="76">
        <v>2</v>
      </c>
      <c r="F718" s="76">
        <v>2</v>
      </c>
      <c r="G718" s="1">
        <v>781</v>
      </c>
      <c r="H718" s="1">
        <v>720.8</v>
      </c>
      <c r="I718" s="1">
        <v>637.4</v>
      </c>
      <c r="J718" s="15">
        <v>22</v>
      </c>
      <c r="K718" s="91">
        <v>6988972.9100000001</v>
      </c>
      <c r="L718" s="1">
        <v>0</v>
      </c>
      <c r="M718" s="1">
        <v>0</v>
      </c>
      <c r="N718" s="1">
        <v>4847658.32</v>
      </c>
      <c r="O718" s="1">
        <v>2141314.59</v>
      </c>
      <c r="P718" s="1">
        <v>0</v>
      </c>
      <c r="Q718" s="1">
        <v>0</v>
      </c>
      <c r="R718" s="128">
        <v>2026</v>
      </c>
      <c r="S718" s="128">
        <v>2026</v>
      </c>
    </row>
    <row r="719" spans="1:19" ht="18.75" customHeight="1">
      <c r="A719" s="76">
        <v>279</v>
      </c>
      <c r="B719" s="121" t="s">
        <v>809</v>
      </c>
      <c r="C719" s="76">
        <v>1977</v>
      </c>
      <c r="D719" s="95" t="s">
        <v>75</v>
      </c>
      <c r="E719" s="76">
        <v>5</v>
      </c>
      <c r="F719" s="76">
        <v>2</v>
      </c>
      <c r="G719" s="1">
        <v>5500.4</v>
      </c>
      <c r="H719" s="1">
        <v>5315</v>
      </c>
      <c r="I719" s="1">
        <v>2102.1</v>
      </c>
      <c r="J719" s="15">
        <v>314</v>
      </c>
      <c r="K719" s="91">
        <v>6082244.7000000002</v>
      </c>
      <c r="L719" s="1">
        <v>0</v>
      </c>
      <c r="M719" s="1">
        <v>0</v>
      </c>
      <c r="N719" s="1">
        <v>6082244.7000000002</v>
      </c>
      <c r="O719" s="1">
        <v>0</v>
      </c>
      <c r="P719" s="1">
        <v>0</v>
      </c>
      <c r="Q719" s="1">
        <v>0</v>
      </c>
      <c r="R719" s="128">
        <v>2026</v>
      </c>
      <c r="S719" s="128">
        <v>2026</v>
      </c>
    </row>
    <row r="720" spans="1:19" ht="18.75" customHeight="1">
      <c r="A720" s="76">
        <v>280</v>
      </c>
      <c r="B720" s="121" t="s">
        <v>810</v>
      </c>
      <c r="C720" s="76">
        <v>1967</v>
      </c>
      <c r="D720" s="95" t="s">
        <v>75</v>
      </c>
      <c r="E720" s="76">
        <v>5</v>
      </c>
      <c r="F720" s="76">
        <v>4</v>
      </c>
      <c r="G720" s="1">
        <v>3573.8</v>
      </c>
      <c r="H720" s="8">
        <v>2630</v>
      </c>
      <c r="I720" s="8">
        <v>2630</v>
      </c>
      <c r="J720" s="13">
        <v>104</v>
      </c>
      <c r="K720" s="91">
        <v>2926280.59</v>
      </c>
      <c r="L720" s="1">
        <v>0</v>
      </c>
      <c r="M720" s="1">
        <v>0</v>
      </c>
      <c r="N720" s="28">
        <v>2926280.59</v>
      </c>
      <c r="O720" s="1">
        <v>0</v>
      </c>
      <c r="P720" s="1">
        <v>0</v>
      </c>
      <c r="Q720" s="1">
        <v>0</v>
      </c>
      <c r="R720" s="128">
        <v>2022</v>
      </c>
      <c r="S720" s="128">
        <v>2026</v>
      </c>
    </row>
    <row r="721" spans="1:19" ht="18.75" customHeight="1">
      <c r="A721" s="76">
        <v>281</v>
      </c>
      <c r="B721" s="121" t="s">
        <v>261</v>
      </c>
      <c r="C721" s="76">
        <v>1968</v>
      </c>
      <c r="D721" s="76" t="s">
        <v>86</v>
      </c>
      <c r="E721" s="76">
        <v>3</v>
      </c>
      <c r="F721" s="76">
        <v>2</v>
      </c>
      <c r="G721" s="1">
        <v>1040.5999999999999</v>
      </c>
      <c r="H721" s="8">
        <v>967.8</v>
      </c>
      <c r="I721" s="8">
        <v>967.8</v>
      </c>
      <c r="J721" s="13">
        <v>42</v>
      </c>
      <c r="K721" s="91">
        <v>1840183.32</v>
      </c>
      <c r="L721" s="1">
        <v>0</v>
      </c>
      <c r="M721" s="1">
        <v>0</v>
      </c>
      <c r="N721" s="1">
        <f>K721</f>
        <v>1840183.32</v>
      </c>
      <c r="O721" s="1">
        <v>0</v>
      </c>
      <c r="P721" s="1">
        <v>0</v>
      </c>
      <c r="Q721" s="1">
        <v>0</v>
      </c>
      <c r="R721" s="128">
        <v>2020</v>
      </c>
      <c r="S721" s="128">
        <v>2026</v>
      </c>
    </row>
    <row r="722" spans="1:19" ht="38.25" customHeight="1">
      <c r="A722" s="158" t="s">
        <v>68</v>
      </c>
      <c r="B722" s="159"/>
      <c r="C722" s="159"/>
      <c r="D722" s="159"/>
      <c r="E722" s="159"/>
      <c r="F722" s="160"/>
      <c r="G722" s="1">
        <f>G723</f>
        <v>563.20000000000005</v>
      </c>
      <c r="H722" s="1">
        <f t="shared" ref="H722:Q722" si="138">H723</f>
        <v>475</v>
      </c>
      <c r="I722" s="1">
        <f t="shared" si="138"/>
        <v>228.4</v>
      </c>
      <c r="J722" s="16">
        <f t="shared" si="138"/>
        <v>14</v>
      </c>
      <c r="K722" s="1">
        <f t="shared" si="138"/>
        <v>5867103.1600000001</v>
      </c>
      <c r="L722" s="1">
        <f t="shared" si="138"/>
        <v>0</v>
      </c>
      <c r="M722" s="1">
        <f t="shared" si="138"/>
        <v>0</v>
      </c>
      <c r="N722" s="1">
        <f t="shared" si="138"/>
        <v>2479662.89</v>
      </c>
      <c r="O722" s="1">
        <f t="shared" si="138"/>
        <v>3387440.27</v>
      </c>
      <c r="P722" s="1">
        <f t="shared" si="138"/>
        <v>0</v>
      </c>
      <c r="Q722" s="1">
        <f t="shared" si="138"/>
        <v>0</v>
      </c>
      <c r="R722" s="133" t="s">
        <v>52</v>
      </c>
      <c r="S722" s="133" t="s">
        <v>52</v>
      </c>
    </row>
    <row r="723" spans="1:19" ht="18.75" customHeight="1">
      <c r="A723" s="76">
        <v>282</v>
      </c>
      <c r="B723" s="121" t="s">
        <v>71</v>
      </c>
      <c r="C723" s="95">
        <v>1917</v>
      </c>
      <c r="D723" s="95" t="s">
        <v>75</v>
      </c>
      <c r="E723" s="95">
        <v>2</v>
      </c>
      <c r="F723" s="95">
        <v>2</v>
      </c>
      <c r="G723" s="1">
        <v>563.20000000000005</v>
      </c>
      <c r="H723" s="1">
        <v>475</v>
      </c>
      <c r="I723" s="1">
        <v>228.4</v>
      </c>
      <c r="J723" s="15">
        <v>14</v>
      </c>
      <c r="K723" s="91">
        <f>L723+M723+N723+O723+P723+Q723</f>
        <v>5867103.1600000001</v>
      </c>
      <c r="L723" s="3">
        <v>0</v>
      </c>
      <c r="M723" s="3">
        <v>0</v>
      </c>
      <c r="N723" s="72">
        <v>2479662.89</v>
      </c>
      <c r="O723" s="63">
        <v>3387440.27</v>
      </c>
      <c r="P723" s="3">
        <v>0</v>
      </c>
      <c r="Q723" s="3">
        <v>0</v>
      </c>
      <c r="R723" s="133">
        <v>2020</v>
      </c>
      <c r="S723" s="133">
        <v>2026</v>
      </c>
    </row>
    <row r="724" spans="1:19" ht="47.25" customHeight="1">
      <c r="A724" s="158" t="s">
        <v>154</v>
      </c>
      <c r="B724" s="159"/>
      <c r="C724" s="159"/>
      <c r="D724" s="159"/>
      <c r="E724" s="159"/>
      <c r="F724" s="160"/>
      <c r="G724" s="1">
        <f>G725+G726+G727+G728+G729+G730</f>
        <v>2872</v>
      </c>
      <c r="H724" s="1">
        <f t="shared" ref="H724:Q724" si="139">H725+H726+H727+H728+H729+H730</f>
        <v>2660.4</v>
      </c>
      <c r="I724" s="1">
        <f t="shared" si="139"/>
        <v>2331.1000000000004</v>
      </c>
      <c r="J724" s="13">
        <f t="shared" si="139"/>
        <v>117</v>
      </c>
      <c r="K724" s="1">
        <f t="shared" si="139"/>
        <v>9473989.3607999999</v>
      </c>
      <c r="L724" s="3">
        <f t="shared" si="139"/>
        <v>0</v>
      </c>
      <c r="M724" s="3">
        <f t="shared" si="139"/>
        <v>0</v>
      </c>
      <c r="N724" s="63">
        <f t="shared" si="139"/>
        <v>5023377.4000000004</v>
      </c>
      <c r="O724" s="63">
        <f t="shared" si="139"/>
        <v>4450611.96</v>
      </c>
      <c r="P724" s="3">
        <f t="shared" si="139"/>
        <v>0</v>
      </c>
      <c r="Q724" s="3">
        <f t="shared" si="139"/>
        <v>0</v>
      </c>
      <c r="R724" s="133" t="s">
        <v>52</v>
      </c>
      <c r="S724" s="133" t="s">
        <v>52</v>
      </c>
    </row>
    <row r="725" spans="1:19" ht="18.75" customHeight="1">
      <c r="A725" s="76">
        <v>283</v>
      </c>
      <c r="B725" s="121" t="s">
        <v>155</v>
      </c>
      <c r="C725" s="95">
        <v>1934</v>
      </c>
      <c r="D725" s="95" t="s">
        <v>132</v>
      </c>
      <c r="E725" s="95">
        <v>2</v>
      </c>
      <c r="F725" s="95">
        <v>2</v>
      </c>
      <c r="G725" s="8">
        <v>560</v>
      </c>
      <c r="H725" s="3">
        <v>485.2</v>
      </c>
      <c r="I725" s="3">
        <v>427.8</v>
      </c>
      <c r="J725" s="133">
        <v>16</v>
      </c>
      <c r="K725" s="91">
        <v>2266042.34</v>
      </c>
      <c r="L725" s="3">
        <v>0</v>
      </c>
      <c r="M725" s="3">
        <v>0</v>
      </c>
      <c r="N725" s="91">
        <v>2266042.34</v>
      </c>
      <c r="O725" s="3">
        <v>0</v>
      </c>
      <c r="P725" s="3">
        <v>0</v>
      </c>
      <c r="Q725" s="3">
        <v>0</v>
      </c>
      <c r="R725" s="133">
        <v>2016</v>
      </c>
      <c r="S725" s="133">
        <v>2026</v>
      </c>
    </row>
    <row r="726" spans="1:19" ht="18.75" customHeight="1">
      <c r="A726" s="76">
        <v>284</v>
      </c>
      <c r="B726" s="121" t="s">
        <v>156</v>
      </c>
      <c r="C726" s="95">
        <v>1934</v>
      </c>
      <c r="D726" s="95" t="s">
        <v>132</v>
      </c>
      <c r="E726" s="95">
        <v>2</v>
      </c>
      <c r="F726" s="95">
        <v>1</v>
      </c>
      <c r="G726" s="8">
        <v>422.6</v>
      </c>
      <c r="H726" s="3">
        <v>385.4</v>
      </c>
      <c r="I726" s="3">
        <v>385.4</v>
      </c>
      <c r="J726" s="133">
        <v>28</v>
      </c>
      <c r="K726" s="91">
        <v>895660.75</v>
      </c>
      <c r="L726" s="3">
        <v>0</v>
      </c>
      <c r="M726" s="3">
        <v>0</v>
      </c>
      <c r="N726" s="91">
        <v>895660.75</v>
      </c>
      <c r="O726" s="3">
        <v>0</v>
      </c>
      <c r="P726" s="3">
        <v>0</v>
      </c>
      <c r="Q726" s="3">
        <v>0</v>
      </c>
      <c r="R726" s="133">
        <v>2016</v>
      </c>
      <c r="S726" s="133">
        <v>2026</v>
      </c>
    </row>
    <row r="727" spans="1:19" ht="18.75" customHeight="1">
      <c r="A727" s="76">
        <v>285</v>
      </c>
      <c r="B727" s="121" t="s">
        <v>157</v>
      </c>
      <c r="C727" s="95">
        <v>1971</v>
      </c>
      <c r="D727" s="95" t="s">
        <v>75</v>
      </c>
      <c r="E727" s="95">
        <v>2</v>
      </c>
      <c r="F727" s="95">
        <v>2</v>
      </c>
      <c r="G727" s="8">
        <v>542.5</v>
      </c>
      <c r="H727" s="3">
        <v>490.5</v>
      </c>
      <c r="I727" s="3">
        <v>460.2</v>
      </c>
      <c r="J727" s="133">
        <v>16</v>
      </c>
      <c r="K727" s="91">
        <v>350956.28</v>
      </c>
      <c r="L727" s="3">
        <v>0</v>
      </c>
      <c r="M727" s="3">
        <v>0</v>
      </c>
      <c r="N727" s="91">
        <v>350956.28</v>
      </c>
      <c r="O727" s="3">
        <v>0</v>
      </c>
      <c r="P727" s="3">
        <v>0</v>
      </c>
      <c r="Q727" s="3">
        <v>0</v>
      </c>
      <c r="R727" s="133">
        <v>2021</v>
      </c>
      <c r="S727" s="133">
        <v>2026</v>
      </c>
    </row>
    <row r="728" spans="1:19" ht="18.75" customHeight="1">
      <c r="A728" s="76">
        <v>286</v>
      </c>
      <c r="B728" s="121" t="s">
        <v>158</v>
      </c>
      <c r="C728" s="95">
        <v>1969</v>
      </c>
      <c r="D728" s="95" t="s">
        <v>75</v>
      </c>
      <c r="E728" s="95">
        <v>2</v>
      </c>
      <c r="F728" s="95">
        <v>1</v>
      </c>
      <c r="G728" s="8">
        <v>369.6</v>
      </c>
      <c r="H728" s="3">
        <v>369.6</v>
      </c>
      <c r="I728" s="3">
        <v>304.39999999999998</v>
      </c>
      <c r="J728" s="133">
        <v>23</v>
      </c>
      <c r="K728" s="91">
        <v>217821.25</v>
      </c>
      <c r="L728" s="3">
        <v>0</v>
      </c>
      <c r="M728" s="3">
        <v>0</v>
      </c>
      <c r="N728" s="91">
        <v>217821.25</v>
      </c>
      <c r="O728" s="3">
        <v>0</v>
      </c>
      <c r="P728" s="3">
        <v>0</v>
      </c>
      <c r="Q728" s="3">
        <v>0</v>
      </c>
      <c r="R728" s="133">
        <v>2021</v>
      </c>
      <c r="S728" s="133">
        <v>2026</v>
      </c>
    </row>
    <row r="729" spans="1:19" ht="18.75" customHeight="1">
      <c r="A729" s="76">
        <v>287</v>
      </c>
      <c r="B729" s="121" t="s">
        <v>159</v>
      </c>
      <c r="C729" s="95">
        <v>1973</v>
      </c>
      <c r="D729" s="95" t="s">
        <v>118</v>
      </c>
      <c r="E729" s="95">
        <v>2</v>
      </c>
      <c r="F729" s="95">
        <v>2</v>
      </c>
      <c r="G729" s="8">
        <v>561.4</v>
      </c>
      <c r="H729" s="3">
        <v>513.79999999999995</v>
      </c>
      <c r="I729" s="3">
        <v>450.8</v>
      </c>
      <c r="J729" s="133">
        <v>19</v>
      </c>
      <c r="K729" s="91">
        <v>375421.78</v>
      </c>
      <c r="L729" s="3">
        <v>0</v>
      </c>
      <c r="M729" s="3">
        <v>0</v>
      </c>
      <c r="N729" s="91">
        <v>375421.78</v>
      </c>
      <c r="O729" s="3">
        <v>0</v>
      </c>
      <c r="P729" s="3">
        <v>0</v>
      </c>
      <c r="Q729" s="3">
        <v>0</v>
      </c>
      <c r="R729" s="133">
        <v>2021</v>
      </c>
      <c r="S729" s="133">
        <v>2026</v>
      </c>
    </row>
    <row r="730" spans="1:19" ht="18.75" customHeight="1">
      <c r="A730" s="76">
        <v>288</v>
      </c>
      <c r="B730" s="121" t="s">
        <v>160</v>
      </c>
      <c r="C730" s="95">
        <v>1934</v>
      </c>
      <c r="D730" s="95" t="s">
        <v>132</v>
      </c>
      <c r="E730" s="95">
        <v>2</v>
      </c>
      <c r="F730" s="95">
        <v>2</v>
      </c>
      <c r="G730" s="8">
        <v>415.9</v>
      </c>
      <c r="H730" s="3">
        <v>415.9</v>
      </c>
      <c r="I730" s="3">
        <v>302.5</v>
      </c>
      <c r="J730" s="133">
        <v>15</v>
      </c>
      <c r="K730" s="91">
        <v>5368086.9607999995</v>
      </c>
      <c r="L730" s="3">
        <v>0</v>
      </c>
      <c r="M730" s="3">
        <v>0</v>
      </c>
      <c r="N730" s="91">
        <v>917475</v>
      </c>
      <c r="O730" s="1">
        <v>4450611.96</v>
      </c>
      <c r="P730" s="3">
        <v>0</v>
      </c>
      <c r="Q730" s="3">
        <v>0</v>
      </c>
      <c r="R730" s="133">
        <v>2023</v>
      </c>
      <c r="S730" s="133">
        <v>2026</v>
      </c>
    </row>
    <row r="731" spans="1:19" ht="42.75" customHeight="1">
      <c r="A731" s="158" t="s">
        <v>97</v>
      </c>
      <c r="B731" s="159"/>
      <c r="C731" s="159"/>
      <c r="D731" s="159"/>
      <c r="E731" s="159"/>
      <c r="F731" s="160"/>
      <c r="G731" s="1">
        <f>SUM(G732:G746)</f>
        <v>17546.2</v>
      </c>
      <c r="H731" s="63">
        <f>SUM(H732:H746)</f>
        <v>14132.5</v>
      </c>
      <c r="I731" s="63">
        <f>SUM(I732:I746)</f>
        <v>12141.699999999999</v>
      </c>
      <c r="J731" s="15">
        <f>SUM(J732:J746)</f>
        <v>759</v>
      </c>
      <c r="K731" s="1">
        <f>SUM(K732:K746)</f>
        <v>63833714.910000004</v>
      </c>
      <c r="L731" s="3">
        <v>0</v>
      </c>
      <c r="M731" s="3">
        <v>0</v>
      </c>
      <c r="N731" s="63">
        <f>SUM(N732:N746)</f>
        <v>61207463.880000003</v>
      </c>
      <c r="O731" s="63">
        <f>SUM(O732:O746)</f>
        <v>2626251.0300000003</v>
      </c>
      <c r="P731" s="3">
        <v>0</v>
      </c>
      <c r="Q731" s="3">
        <v>0</v>
      </c>
      <c r="R731" s="133" t="s">
        <v>52</v>
      </c>
      <c r="S731" s="133" t="s">
        <v>52</v>
      </c>
    </row>
    <row r="732" spans="1:19" ht="18.75" customHeight="1">
      <c r="A732" s="76">
        <v>289</v>
      </c>
      <c r="B732" s="121" t="s">
        <v>102</v>
      </c>
      <c r="C732" s="95">
        <v>1962</v>
      </c>
      <c r="D732" s="95" t="s">
        <v>75</v>
      </c>
      <c r="E732" s="95">
        <v>2</v>
      </c>
      <c r="F732" s="95">
        <v>2</v>
      </c>
      <c r="G732" s="1">
        <v>369.5</v>
      </c>
      <c r="H732" s="1">
        <v>369.5</v>
      </c>
      <c r="I732" s="1">
        <v>369.5</v>
      </c>
      <c r="J732" s="15">
        <v>12</v>
      </c>
      <c r="K732" s="91">
        <f>L732+M732+N732+O732+P732+Q732</f>
        <v>930734.22</v>
      </c>
      <c r="L732" s="3">
        <v>0</v>
      </c>
      <c r="M732" s="3">
        <v>0</v>
      </c>
      <c r="N732" s="91">
        <v>930734.22</v>
      </c>
      <c r="O732" s="3">
        <v>0</v>
      </c>
      <c r="P732" s="3">
        <v>0</v>
      </c>
      <c r="Q732" s="3">
        <v>0</v>
      </c>
      <c r="R732" s="133">
        <v>2025</v>
      </c>
      <c r="S732" s="133">
        <v>2026</v>
      </c>
    </row>
    <row r="733" spans="1:19" ht="18.75" customHeight="1">
      <c r="A733" s="76">
        <v>290</v>
      </c>
      <c r="B733" s="121" t="s">
        <v>104</v>
      </c>
      <c r="C733" s="95">
        <v>1969</v>
      </c>
      <c r="D733" s="95" t="s">
        <v>77</v>
      </c>
      <c r="E733" s="95">
        <v>5</v>
      </c>
      <c r="F733" s="95">
        <v>6</v>
      </c>
      <c r="G733" s="1">
        <v>4385.6000000000004</v>
      </c>
      <c r="H733" s="1">
        <v>4385.6000000000004</v>
      </c>
      <c r="I733" s="1">
        <v>4214.1000000000004</v>
      </c>
      <c r="J733" s="15">
        <v>192</v>
      </c>
      <c r="K733" s="91">
        <f>L733+M733+N733+O733+P733+Q733</f>
        <v>7146792.6100000003</v>
      </c>
      <c r="L733" s="3">
        <v>0</v>
      </c>
      <c r="M733" s="3">
        <v>0</v>
      </c>
      <c r="N733" s="91">
        <v>7146792.6100000003</v>
      </c>
      <c r="O733" s="3">
        <v>0</v>
      </c>
      <c r="P733" s="3">
        <v>0</v>
      </c>
      <c r="Q733" s="3">
        <v>0</v>
      </c>
      <c r="R733" s="133">
        <v>2025</v>
      </c>
      <c r="S733" s="133">
        <v>2026</v>
      </c>
    </row>
    <row r="734" spans="1:19" ht="18.75" customHeight="1">
      <c r="A734" s="76">
        <v>291</v>
      </c>
      <c r="B734" s="121" t="s">
        <v>811</v>
      </c>
      <c r="C734" s="95">
        <v>1959</v>
      </c>
      <c r="D734" s="95" t="s">
        <v>75</v>
      </c>
      <c r="E734" s="95">
        <v>2</v>
      </c>
      <c r="F734" s="95">
        <v>1</v>
      </c>
      <c r="G734" s="1">
        <v>273.2</v>
      </c>
      <c r="H734" s="8">
        <v>244.8</v>
      </c>
      <c r="I734" s="8">
        <v>244.8</v>
      </c>
      <c r="J734" s="15">
        <v>9</v>
      </c>
      <c r="K734" s="91">
        <f>L734+M734+N734+O734+P734+Q734</f>
        <v>4485567.87</v>
      </c>
      <c r="L734" s="3">
        <v>0</v>
      </c>
      <c r="M734" s="3">
        <v>0</v>
      </c>
      <c r="N734" s="91">
        <v>4485567.87</v>
      </c>
      <c r="O734" s="3">
        <v>0</v>
      </c>
      <c r="P734" s="3">
        <v>0</v>
      </c>
      <c r="Q734" s="3">
        <v>0</v>
      </c>
      <c r="R734" s="133">
        <v>2025</v>
      </c>
      <c r="S734" s="133">
        <v>2026</v>
      </c>
    </row>
    <row r="735" spans="1:19" ht="18.75" customHeight="1">
      <c r="A735" s="76">
        <v>292</v>
      </c>
      <c r="B735" s="121" t="s">
        <v>105</v>
      </c>
      <c r="C735" s="95">
        <v>1962</v>
      </c>
      <c r="D735" s="95" t="s">
        <v>75</v>
      </c>
      <c r="E735" s="95">
        <v>2</v>
      </c>
      <c r="F735" s="95">
        <v>1</v>
      </c>
      <c r="G735" s="1">
        <v>517.70000000000005</v>
      </c>
      <c r="H735" s="8">
        <v>459</v>
      </c>
      <c r="I735" s="8">
        <v>422.2</v>
      </c>
      <c r="J735" s="15">
        <v>12</v>
      </c>
      <c r="K735" s="91">
        <f>SUM(L735:Q735)</f>
        <v>6829150.0199999996</v>
      </c>
      <c r="L735" s="3">
        <v>0</v>
      </c>
      <c r="M735" s="3">
        <v>0</v>
      </c>
      <c r="N735" s="91">
        <v>6829150.0199999996</v>
      </c>
      <c r="O735" s="3">
        <v>0</v>
      </c>
      <c r="P735" s="3">
        <v>0</v>
      </c>
      <c r="Q735" s="3">
        <v>0</v>
      </c>
      <c r="R735" s="133">
        <v>2025</v>
      </c>
      <c r="S735" s="133">
        <v>2026</v>
      </c>
    </row>
    <row r="736" spans="1:19" ht="18.75" customHeight="1">
      <c r="A736" s="76">
        <v>293</v>
      </c>
      <c r="B736" s="121" t="s">
        <v>538</v>
      </c>
      <c r="C736" s="95">
        <v>1958</v>
      </c>
      <c r="D736" s="95" t="s">
        <v>75</v>
      </c>
      <c r="E736" s="95">
        <v>2</v>
      </c>
      <c r="F736" s="95">
        <v>3</v>
      </c>
      <c r="G736" s="1">
        <v>988.1</v>
      </c>
      <c r="H736" s="8">
        <v>988.1</v>
      </c>
      <c r="I736" s="8">
        <v>629.70000000000005</v>
      </c>
      <c r="J736" s="15">
        <v>38</v>
      </c>
      <c r="K736" s="91">
        <f>SUM(L736:Q736)</f>
        <v>10500428.189999999</v>
      </c>
      <c r="L736" s="3">
        <v>0</v>
      </c>
      <c r="M736" s="3">
        <v>0</v>
      </c>
      <c r="N736" s="91">
        <v>10500428.189999999</v>
      </c>
      <c r="O736" s="3">
        <v>0</v>
      </c>
      <c r="P736" s="3">
        <v>0</v>
      </c>
      <c r="Q736" s="3">
        <v>0</v>
      </c>
      <c r="R736" s="133">
        <v>2025</v>
      </c>
      <c r="S736" s="133">
        <v>2026</v>
      </c>
    </row>
    <row r="737" spans="1:19" ht="18.75" customHeight="1">
      <c r="A737" s="76">
        <v>294</v>
      </c>
      <c r="B737" s="121" t="s">
        <v>539</v>
      </c>
      <c r="C737" s="95">
        <v>1938</v>
      </c>
      <c r="D737" s="95" t="s">
        <v>75</v>
      </c>
      <c r="E737" s="95">
        <v>2</v>
      </c>
      <c r="F737" s="95">
        <v>2</v>
      </c>
      <c r="G737" s="1">
        <v>387.9</v>
      </c>
      <c r="H737" s="8">
        <v>387.9</v>
      </c>
      <c r="I737" s="8">
        <v>387.9</v>
      </c>
      <c r="J737" s="15">
        <v>24</v>
      </c>
      <c r="K737" s="91">
        <f>SUM(L737:Q737)</f>
        <v>3913327.31</v>
      </c>
      <c r="L737" s="3">
        <v>0</v>
      </c>
      <c r="M737" s="3">
        <v>0</v>
      </c>
      <c r="N737" s="91">
        <v>3913327.31</v>
      </c>
      <c r="O737" s="3">
        <v>0</v>
      </c>
      <c r="P737" s="3">
        <v>0</v>
      </c>
      <c r="Q737" s="3">
        <v>0</v>
      </c>
      <c r="R737" s="133">
        <v>2025</v>
      </c>
      <c r="S737" s="133">
        <v>2026</v>
      </c>
    </row>
    <row r="738" spans="1:19" ht="18.75" customHeight="1">
      <c r="A738" s="76">
        <v>295</v>
      </c>
      <c r="B738" s="121" t="s">
        <v>812</v>
      </c>
      <c r="C738" s="95">
        <v>1955</v>
      </c>
      <c r="D738" s="95" t="s">
        <v>75</v>
      </c>
      <c r="E738" s="95">
        <v>2</v>
      </c>
      <c r="F738" s="95">
        <v>2</v>
      </c>
      <c r="G738" s="1">
        <v>436.8</v>
      </c>
      <c r="H738" s="8">
        <v>391.3</v>
      </c>
      <c r="I738" s="8">
        <v>391.3</v>
      </c>
      <c r="J738" s="15">
        <v>18</v>
      </c>
      <c r="K738" s="91">
        <v>2905442.49</v>
      </c>
      <c r="L738" s="3">
        <v>0</v>
      </c>
      <c r="M738" s="3">
        <v>0</v>
      </c>
      <c r="N738" s="91">
        <v>2905442.49</v>
      </c>
      <c r="O738" s="3">
        <v>0</v>
      </c>
      <c r="P738" s="3">
        <v>0</v>
      </c>
      <c r="Q738" s="3">
        <v>0</v>
      </c>
      <c r="R738" s="133">
        <v>2023</v>
      </c>
      <c r="S738" s="133">
        <v>2026</v>
      </c>
    </row>
    <row r="739" spans="1:19" ht="18.75" customHeight="1">
      <c r="A739" s="76">
        <v>296</v>
      </c>
      <c r="B739" s="121" t="s">
        <v>106</v>
      </c>
      <c r="C739" s="95" t="s">
        <v>107</v>
      </c>
      <c r="D739" s="95" t="s">
        <v>75</v>
      </c>
      <c r="E739" s="95">
        <v>2</v>
      </c>
      <c r="F739" s="95">
        <v>1</v>
      </c>
      <c r="G739" s="1">
        <v>496.4</v>
      </c>
      <c r="H739" s="8">
        <v>286.2</v>
      </c>
      <c r="I739" s="8">
        <v>286.2</v>
      </c>
      <c r="J739" s="15">
        <v>10</v>
      </c>
      <c r="K739" s="91">
        <v>2839379.45</v>
      </c>
      <c r="L739" s="91">
        <v>0</v>
      </c>
      <c r="M739" s="91">
        <v>0</v>
      </c>
      <c r="N739" s="91">
        <v>2641068.31</v>
      </c>
      <c r="O739" s="91">
        <v>198311.14</v>
      </c>
      <c r="P739" s="91">
        <v>0</v>
      </c>
      <c r="Q739" s="91">
        <v>0</v>
      </c>
      <c r="R739" s="133">
        <v>2018</v>
      </c>
      <c r="S739" s="133">
        <v>2026</v>
      </c>
    </row>
    <row r="740" spans="1:19" ht="18.75" customHeight="1">
      <c r="A740" s="76">
        <v>297</v>
      </c>
      <c r="B740" s="121" t="s">
        <v>108</v>
      </c>
      <c r="C740" s="95">
        <v>1963</v>
      </c>
      <c r="D740" s="95" t="s">
        <v>75</v>
      </c>
      <c r="E740" s="95">
        <v>2</v>
      </c>
      <c r="F740" s="95">
        <v>2</v>
      </c>
      <c r="G740" s="1">
        <v>403.2</v>
      </c>
      <c r="H740" s="8">
        <v>356.4</v>
      </c>
      <c r="I740" s="8">
        <v>356.4</v>
      </c>
      <c r="J740" s="15">
        <v>26</v>
      </c>
      <c r="K740" s="91">
        <f>L740+M740+N740+O740+P740+Q740</f>
        <v>1234688.3899999999</v>
      </c>
      <c r="L740" s="3">
        <v>0</v>
      </c>
      <c r="M740" s="3">
        <v>0</v>
      </c>
      <c r="N740" s="1">
        <v>1234688.3899999999</v>
      </c>
      <c r="O740" s="3">
        <v>0</v>
      </c>
      <c r="P740" s="3">
        <v>0</v>
      </c>
      <c r="Q740" s="3">
        <v>0</v>
      </c>
      <c r="R740" s="133">
        <v>2019</v>
      </c>
      <c r="S740" s="133">
        <v>2026</v>
      </c>
    </row>
    <row r="741" spans="1:19" ht="18.75" customHeight="1">
      <c r="A741" s="76">
        <v>298</v>
      </c>
      <c r="B741" s="121" t="s">
        <v>540</v>
      </c>
      <c r="C741" s="95">
        <v>1984</v>
      </c>
      <c r="D741" s="95" t="s">
        <v>75</v>
      </c>
      <c r="E741" s="95">
        <v>5</v>
      </c>
      <c r="F741" s="95">
        <v>1</v>
      </c>
      <c r="G741" s="1">
        <v>3948.8</v>
      </c>
      <c r="H741" s="1">
        <v>2687.9</v>
      </c>
      <c r="I741" s="1">
        <v>1667.1</v>
      </c>
      <c r="J741" s="15">
        <v>175</v>
      </c>
      <c r="K741" s="91">
        <f>L741+M741+N741+O741+P741+Q741</f>
        <v>2029840.7999999998</v>
      </c>
      <c r="L741" s="3">
        <v>0</v>
      </c>
      <c r="M741" s="3">
        <v>0</v>
      </c>
      <c r="N741" s="1">
        <v>1834915.9</v>
      </c>
      <c r="O741" s="1">
        <v>194924.9</v>
      </c>
      <c r="P741" s="3">
        <v>0</v>
      </c>
      <c r="Q741" s="3">
        <v>0</v>
      </c>
      <c r="R741" s="133">
        <v>2018</v>
      </c>
      <c r="S741" s="133">
        <v>2026</v>
      </c>
    </row>
    <row r="742" spans="1:19" ht="18.75" customHeight="1">
      <c r="A742" s="76">
        <v>299</v>
      </c>
      <c r="B742" s="121" t="s">
        <v>109</v>
      </c>
      <c r="C742" s="95">
        <v>1976</v>
      </c>
      <c r="D742" s="95" t="s">
        <v>86</v>
      </c>
      <c r="E742" s="95">
        <v>2</v>
      </c>
      <c r="F742" s="95">
        <v>2</v>
      </c>
      <c r="G742" s="1">
        <v>1011.9</v>
      </c>
      <c r="H742" s="1">
        <v>686.6</v>
      </c>
      <c r="I742" s="1">
        <v>603</v>
      </c>
      <c r="J742" s="15">
        <v>62</v>
      </c>
      <c r="K742" s="91">
        <v>6566002.7599999998</v>
      </c>
      <c r="L742" s="91">
        <v>0</v>
      </c>
      <c r="M742" s="91">
        <v>0</v>
      </c>
      <c r="N742" s="91">
        <v>5297680.33</v>
      </c>
      <c r="O742" s="91">
        <v>1268322.43</v>
      </c>
      <c r="P742" s="91">
        <v>0</v>
      </c>
      <c r="Q742" s="91">
        <v>0</v>
      </c>
      <c r="R742" s="133">
        <v>2019</v>
      </c>
      <c r="S742" s="133">
        <v>2026</v>
      </c>
    </row>
    <row r="743" spans="1:19" ht="32.25" customHeight="1">
      <c r="A743" s="76">
        <v>300</v>
      </c>
      <c r="B743" s="121" t="s">
        <v>110</v>
      </c>
      <c r="C743" s="95">
        <v>1983</v>
      </c>
      <c r="D743" s="76" t="s">
        <v>86</v>
      </c>
      <c r="E743" s="95">
        <v>2</v>
      </c>
      <c r="F743" s="95">
        <v>2</v>
      </c>
      <c r="G743" s="1">
        <v>1325.6</v>
      </c>
      <c r="H743" s="1">
        <v>781.4</v>
      </c>
      <c r="I743" s="1">
        <v>694.1</v>
      </c>
      <c r="J743" s="15">
        <v>54</v>
      </c>
      <c r="K743" s="91">
        <f>L743+M743+N743+O743+P743+Q743</f>
        <v>2901725.36</v>
      </c>
      <c r="L743" s="3">
        <v>0</v>
      </c>
      <c r="M743" s="3">
        <v>0</v>
      </c>
      <c r="N743" s="91">
        <v>2901725.36</v>
      </c>
      <c r="O743" s="3">
        <v>0</v>
      </c>
      <c r="P743" s="3">
        <v>0</v>
      </c>
      <c r="Q743" s="3">
        <v>0</v>
      </c>
      <c r="R743" s="133">
        <v>2019</v>
      </c>
      <c r="S743" s="133">
        <v>2026</v>
      </c>
    </row>
    <row r="744" spans="1:19" ht="32.25" customHeight="1">
      <c r="A744" s="76">
        <v>301</v>
      </c>
      <c r="B744" s="121" t="s">
        <v>111</v>
      </c>
      <c r="C744" s="95">
        <v>1966</v>
      </c>
      <c r="D744" s="95" t="s">
        <v>75</v>
      </c>
      <c r="E744" s="95">
        <v>3</v>
      </c>
      <c r="F744" s="95">
        <v>2</v>
      </c>
      <c r="G744" s="1">
        <v>892.3</v>
      </c>
      <c r="H744" s="1">
        <v>581.6</v>
      </c>
      <c r="I744" s="1">
        <v>427.1</v>
      </c>
      <c r="J744" s="15">
        <v>50</v>
      </c>
      <c r="K744" s="91">
        <f>SUM(L744:Q744)</f>
        <v>2028604.03</v>
      </c>
      <c r="L744" s="3">
        <v>0</v>
      </c>
      <c r="M744" s="3">
        <v>0</v>
      </c>
      <c r="N744" s="91">
        <v>1373640.47</v>
      </c>
      <c r="O744" s="63">
        <v>654963.56000000006</v>
      </c>
      <c r="P744" s="3">
        <v>0</v>
      </c>
      <c r="Q744" s="3">
        <v>0</v>
      </c>
      <c r="R744" s="133">
        <v>2020</v>
      </c>
      <c r="S744" s="133">
        <v>2026</v>
      </c>
    </row>
    <row r="745" spans="1:19" ht="39.75" customHeight="1">
      <c r="A745" s="76">
        <v>302</v>
      </c>
      <c r="B745" s="121" t="s">
        <v>112</v>
      </c>
      <c r="C745" s="95">
        <v>1962</v>
      </c>
      <c r="D745" s="95" t="s">
        <v>75</v>
      </c>
      <c r="E745" s="95">
        <v>2</v>
      </c>
      <c r="F745" s="95">
        <v>2</v>
      </c>
      <c r="G745" s="1">
        <v>522.5</v>
      </c>
      <c r="H745" s="1">
        <v>458.9</v>
      </c>
      <c r="I745" s="1">
        <v>381</v>
      </c>
      <c r="J745" s="15">
        <v>21</v>
      </c>
      <c r="K745" s="91">
        <v>3090533.27</v>
      </c>
      <c r="L745" s="3">
        <v>0</v>
      </c>
      <c r="M745" s="3">
        <v>0</v>
      </c>
      <c r="N745" s="91">
        <v>2780804.27</v>
      </c>
      <c r="O745" s="3">
        <v>309729</v>
      </c>
      <c r="P745" s="3">
        <v>0</v>
      </c>
      <c r="Q745" s="3">
        <v>0</v>
      </c>
      <c r="R745" s="133">
        <v>2020</v>
      </c>
      <c r="S745" s="133">
        <v>2026</v>
      </c>
    </row>
    <row r="746" spans="1:19" ht="32.25" customHeight="1">
      <c r="A746" s="76">
        <v>303</v>
      </c>
      <c r="B746" s="121" t="s">
        <v>113</v>
      </c>
      <c r="C746" s="95">
        <v>1965</v>
      </c>
      <c r="D746" s="95" t="s">
        <v>75</v>
      </c>
      <c r="E746" s="95">
        <v>5</v>
      </c>
      <c r="F746" s="95">
        <v>2</v>
      </c>
      <c r="G746" s="1">
        <v>1586.7</v>
      </c>
      <c r="H746" s="1">
        <v>1067.3</v>
      </c>
      <c r="I746" s="1">
        <v>1067.3</v>
      </c>
      <c r="J746" s="15">
        <v>56</v>
      </c>
      <c r="K746" s="91">
        <f>SUM(L746:Q746)</f>
        <v>6431498.1399999997</v>
      </c>
      <c r="L746" s="3">
        <v>0</v>
      </c>
      <c r="M746" s="3">
        <v>0</v>
      </c>
      <c r="N746" s="91">
        <v>6431498.1399999997</v>
      </c>
      <c r="O746" s="3">
        <v>0</v>
      </c>
      <c r="P746" s="3">
        <v>0</v>
      </c>
      <c r="Q746" s="3">
        <v>0</v>
      </c>
      <c r="R746" s="133">
        <v>2022</v>
      </c>
      <c r="S746" s="133">
        <v>2026</v>
      </c>
    </row>
    <row r="747" spans="1:19" ht="47.25" customHeight="1">
      <c r="A747" s="158" t="s">
        <v>186</v>
      </c>
      <c r="B747" s="159"/>
      <c r="C747" s="159"/>
      <c r="D747" s="159"/>
      <c r="E747" s="159"/>
      <c r="F747" s="160"/>
      <c r="G747" s="1">
        <f>SUM(G748:G758)</f>
        <v>9061.9</v>
      </c>
      <c r="H747" s="1">
        <f t="shared" ref="H747:Q747" si="140">SUM(H748:H758)</f>
        <v>7991.1</v>
      </c>
      <c r="I747" s="1">
        <f t="shared" si="140"/>
        <v>6799.2</v>
      </c>
      <c r="J747" s="15">
        <f t="shared" si="140"/>
        <v>270</v>
      </c>
      <c r="K747" s="1">
        <f t="shared" si="140"/>
        <v>56041143.729999997</v>
      </c>
      <c r="L747" s="3">
        <f t="shared" si="140"/>
        <v>0</v>
      </c>
      <c r="M747" s="3">
        <f t="shared" si="140"/>
        <v>0</v>
      </c>
      <c r="N747" s="63">
        <f t="shared" si="140"/>
        <v>38530986.780000001</v>
      </c>
      <c r="O747" s="63">
        <f t="shared" si="140"/>
        <v>17510156.950000003</v>
      </c>
      <c r="P747" s="3">
        <f t="shared" si="140"/>
        <v>0</v>
      </c>
      <c r="Q747" s="3">
        <f t="shared" si="140"/>
        <v>0</v>
      </c>
      <c r="R747" s="133" t="s">
        <v>52</v>
      </c>
      <c r="S747" s="133" t="s">
        <v>52</v>
      </c>
    </row>
    <row r="748" spans="1:19" ht="37.5">
      <c r="A748" s="76">
        <v>304</v>
      </c>
      <c r="B748" s="121" t="s">
        <v>189</v>
      </c>
      <c r="C748" s="76">
        <v>1953</v>
      </c>
      <c r="D748" s="76" t="s">
        <v>86</v>
      </c>
      <c r="E748" s="76">
        <v>2</v>
      </c>
      <c r="F748" s="76">
        <v>2</v>
      </c>
      <c r="G748" s="1">
        <v>727.9</v>
      </c>
      <c r="H748" s="1">
        <v>722.3</v>
      </c>
      <c r="I748" s="1">
        <v>597.9</v>
      </c>
      <c r="J748" s="128">
        <v>16</v>
      </c>
      <c r="K748" s="1">
        <f>L748+M748+N748+O748+P748+Q748</f>
        <v>7862378.7999999998</v>
      </c>
      <c r="L748" s="3">
        <v>0</v>
      </c>
      <c r="M748" s="3">
        <v>0</v>
      </c>
      <c r="N748" s="1">
        <v>4385584.43</v>
      </c>
      <c r="O748" s="63">
        <v>3476794.37</v>
      </c>
      <c r="P748" s="3">
        <v>0</v>
      </c>
      <c r="Q748" s="3">
        <v>0</v>
      </c>
      <c r="R748" s="128">
        <v>2024</v>
      </c>
      <c r="S748" s="128">
        <v>2026</v>
      </c>
    </row>
    <row r="749" spans="1:19" ht="32.25" customHeight="1">
      <c r="A749" s="76">
        <v>305</v>
      </c>
      <c r="B749" s="121" t="s">
        <v>190</v>
      </c>
      <c r="C749" s="17">
        <v>1961</v>
      </c>
      <c r="D749" s="76" t="s">
        <v>86</v>
      </c>
      <c r="E749" s="76">
        <v>2</v>
      </c>
      <c r="F749" s="76">
        <v>2</v>
      </c>
      <c r="G749" s="2">
        <v>689.1</v>
      </c>
      <c r="H749" s="2">
        <v>413.4</v>
      </c>
      <c r="I749" s="2">
        <v>413.4</v>
      </c>
      <c r="J749" s="128">
        <v>16</v>
      </c>
      <c r="K749" s="1">
        <f t="shared" ref="K749:K758" si="141">L749+M749+N749+O749+P749+Q749</f>
        <v>6316115.5899999999</v>
      </c>
      <c r="L749" s="3">
        <v>0</v>
      </c>
      <c r="M749" s="3">
        <v>0</v>
      </c>
      <c r="N749" s="1">
        <v>6316115.5899999999</v>
      </c>
      <c r="O749" s="3">
        <v>0</v>
      </c>
      <c r="P749" s="3">
        <v>0</v>
      </c>
      <c r="Q749" s="3">
        <v>0</v>
      </c>
      <c r="R749" s="15">
        <v>2026</v>
      </c>
      <c r="S749" s="128">
        <v>2026</v>
      </c>
    </row>
    <row r="750" spans="1:19" ht="32.25" customHeight="1">
      <c r="A750" s="76">
        <v>306</v>
      </c>
      <c r="B750" s="121" t="s">
        <v>191</v>
      </c>
      <c r="C750" s="17">
        <v>1958</v>
      </c>
      <c r="D750" s="76" t="s">
        <v>86</v>
      </c>
      <c r="E750" s="76">
        <v>2</v>
      </c>
      <c r="F750" s="76">
        <v>2</v>
      </c>
      <c r="G750" s="2">
        <v>653.29999999999995</v>
      </c>
      <c r="H750" s="2">
        <v>414.2</v>
      </c>
      <c r="I750" s="2">
        <v>414.2</v>
      </c>
      <c r="J750" s="128">
        <v>23</v>
      </c>
      <c r="K750" s="1">
        <f>L750+M750+N750+O750+P750+Q750</f>
        <v>5896703.4500000002</v>
      </c>
      <c r="L750" s="3">
        <v>0</v>
      </c>
      <c r="M750" s="3">
        <v>0</v>
      </c>
      <c r="N750" s="1">
        <v>5896703.4500000002</v>
      </c>
      <c r="O750" s="3">
        <v>0</v>
      </c>
      <c r="P750" s="3">
        <v>0</v>
      </c>
      <c r="Q750" s="3">
        <v>0</v>
      </c>
      <c r="R750" s="15">
        <v>2026</v>
      </c>
      <c r="S750" s="128">
        <v>2026</v>
      </c>
    </row>
    <row r="751" spans="1:19" ht="32.25" customHeight="1">
      <c r="A751" s="76">
        <v>307</v>
      </c>
      <c r="B751" s="7" t="s">
        <v>192</v>
      </c>
      <c r="C751" s="76">
        <v>1953</v>
      </c>
      <c r="D751" s="76" t="s">
        <v>86</v>
      </c>
      <c r="E751" s="76">
        <v>4</v>
      </c>
      <c r="F751" s="76">
        <v>2</v>
      </c>
      <c r="G751" s="1">
        <v>1396.5</v>
      </c>
      <c r="H751" s="1">
        <v>1298.0999999999999</v>
      </c>
      <c r="I751" s="1">
        <v>1178.5999999999999</v>
      </c>
      <c r="J751" s="16">
        <v>39</v>
      </c>
      <c r="K751" s="1">
        <f t="shared" si="141"/>
        <v>5639858.1799999997</v>
      </c>
      <c r="L751" s="3">
        <v>0</v>
      </c>
      <c r="M751" s="3">
        <v>0</v>
      </c>
      <c r="N751" s="1">
        <v>2089124.51</v>
      </c>
      <c r="O751" s="1">
        <v>3550733.67</v>
      </c>
      <c r="P751" s="3">
        <v>0</v>
      </c>
      <c r="Q751" s="3">
        <v>0</v>
      </c>
      <c r="R751" s="15">
        <v>2023</v>
      </c>
      <c r="S751" s="128">
        <v>2026</v>
      </c>
    </row>
    <row r="752" spans="1:19" ht="32.25" customHeight="1">
      <c r="A752" s="76">
        <v>308</v>
      </c>
      <c r="B752" s="119" t="s">
        <v>193</v>
      </c>
      <c r="C752" s="76">
        <v>1953</v>
      </c>
      <c r="D752" s="76" t="s">
        <v>86</v>
      </c>
      <c r="E752" s="76">
        <v>2</v>
      </c>
      <c r="F752" s="76">
        <v>2</v>
      </c>
      <c r="G752" s="1">
        <v>412.1</v>
      </c>
      <c r="H752" s="1">
        <v>371.6</v>
      </c>
      <c r="I752" s="1">
        <v>330.6</v>
      </c>
      <c r="J752" s="128">
        <v>12</v>
      </c>
      <c r="K752" s="1">
        <f t="shared" si="141"/>
        <v>2666526.84</v>
      </c>
      <c r="L752" s="3">
        <v>0</v>
      </c>
      <c r="M752" s="3">
        <v>0</v>
      </c>
      <c r="N752" s="1">
        <v>2196085.86</v>
      </c>
      <c r="O752" s="1">
        <v>470440.98</v>
      </c>
      <c r="P752" s="3">
        <v>0</v>
      </c>
      <c r="Q752" s="3">
        <v>0</v>
      </c>
      <c r="R752" s="15">
        <v>2026</v>
      </c>
      <c r="S752" s="128">
        <v>2026</v>
      </c>
    </row>
    <row r="753" spans="1:19" ht="32.25" customHeight="1">
      <c r="A753" s="76">
        <v>309</v>
      </c>
      <c r="B753" s="119" t="s">
        <v>194</v>
      </c>
      <c r="C753" s="76">
        <v>1979</v>
      </c>
      <c r="D753" s="76" t="s">
        <v>86</v>
      </c>
      <c r="E753" s="76">
        <v>2</v>
      </c>
      <c r="F753" s="76">
        <v>3</v>
      </c>
      <c r="G753" s="1">
        <v>1347</v>
      </c>
      <c r="H753" s="1">
        <v>1228.0999999999999</v>
      </c>
      <c r="I753" s="1">
        <v>1112.7</v>
      </c>
      <c r="J753" s="128">
        <v>33</v>
      </c>
      <c r="K753" s="1">
        <f t="shared" si="141"/>
        <v>10030212.289999999</v>
      </c>
      <c r="L753" s="3">
        <v>0</v>
      </c>
      <c r="M753" s="3">
        <v>0</v>
      </c>
      <c r="N753" s="1">
        <v>3623991.49</v>
      </c>
      <c r="O753" s="1">
        <v>6406220.7999999998</v>
      </c>
      <c r="P753" s="3">
        <v>0</v>
      </c>
      <c r="Q753" s="3">
        <v>0</v>
      </c>
      <c r="R753" s="15">
        <v>2024</v>
      </c>
      <c r="S753" s="128">
        <v>2026</v>
      </c>
    </row>
    <row r="754" spans="1:19" ht="32.25" customHeight="1">
      <c r="A754" s="76">
        <v>310</v>
      </c>
      <c r="B754" s="121" t="s">
        <v>195</v>
      </c>
      <c r="C754" s="76">
        <v>1959</v>
      </c>
      <c r="D754" s="76" t="s">
        <v>86</v>
      </c>
      <c r="E754" s="76">
        <v>3</v>
      </c>
      <c r="F754" s="76">
        <v>3</v>
      </c>
      <c r="G754" s="1">
        <v>1158.5</v>
      </c>
      <c r="H754" s="1">
        <v>1067.3</v>
      </c>
      <c r="I754" s="1">
        <v>703.3</v>
      </c>
      <c r="J754" s="128">
        <v>25</v>
      </c>
      <c r="K754" s="1">
        <f t="shared" si="141"/>
        <v>6039747.1799999997</v>
      </c>
      <c r="L754" s="3">
        <v>0</v>
      </c>
      <c r="M754" s="3">
        <v>0</v>
      </c>
      <c r="N754" s="1">
        <v>4751163.62</v>
      </c>
      <c r="O754" s="1">
        <v>1288583.56</v>
      </c>
      <c r="P754" s="3">
        <v>0</v>
      </c>
      <c r="Q754" s="3">
        <v>0</v>
      </c>
      <c r="R754" s="15">
        <v>2026</v>
      </c>
      <c r="S754" s="128">
        <v>2026</v>
      </c>
    </row>
    <row r="755" spans="1:19" ht="32.25" customHeight="1">
      <c r="A755" s="76">
        <v>311</v>
      </c>
      <c r="B755" s="7" t="s">
        <v>196</v>
      </c>
      <c r="C755" s="76">
        <v>1979</v>
      </c>
      <c r="D755" s="76" t="s">
        <v>86</v>
      </c>
      <c r="E755" s="76">
        <v>2</v>
      </c>
      <c r="F755" s="76">
        <v>1</v>
      </c>
      <c r="G755" s="1">
        <v>398.3</v>
      </c>
      <c r="H755" s="1">
        <v>366.3</v>
      </c>
      <c r="I755" s="1">
        <v>322.8</v>
      </c>
      <c r="J755" s="16">
        <v>20</v>
      </c>
      <c r="K755" s="1">
        <f t="shared" si="141"/>
        <v>3288622.04</v>
      </c>
      <c r="L755" s="3">
        <v>0</v>
      </c>
      <c r="M755" s="3">
        <v>0</v>
      </c>
      <c r="N755" s="1">
        <v>2538046.25</v>
      </c>
      <c r="O755" s="1">
        <v>750575.79</v>
      </c>
      <c r="P755" s="3">
        <v>0</v>
      </c>
      <c r="Q755" s="3">
        <v>0</v>
      </c>
      <c r="R755" s="15">
        <v>2019</v>
      </c>
      <c r="S755" s="128">
        <v>2026</v>
      </c>
    </row>
    <row r="756" spans="1:19" ht="32.25" customHeight="1">
      <c r="A756" s="76">
        <v>312</v>
      </c>
      <c r="B756" s="7" t="s">
        <v>197</v>
      </c>
      <c r="C756" s="76">
        <v>1974</v>
      </c>
      <c r="D756" s="76" t="s">
        <v>86</v>
      </c>
      <c r="E756" s="76">
        <v>2</v>
      </c>
      <c r="F756" s="76">
        <v>2</v>
      </c>
      <c r="G756" s="1">
        <v>802.3</v>
      </c>
      <c r="H756" s="1">
        <v>749.1</v>
      </c>
      <c r="I756" s="1">
        <v>714.5</v>
      </c>
      <c r="J756" s="16">
        <v>23</v>
      </c>
      <c r="K756" s="1">
        <f t="shared" si="141"/>
        <v>5868353.9000000004</v>
      </c>
      <c r="L756" s="3">
        <v>0</v>
      </c>
      <c r="M756" s="3">
        <v>0</v>
      </c>
      <c r="N756" s="1">
        <v>4301546.12</v>
      </c>
      <c r="O756" s="1">
        <v>1566807.78</v>
      </c>
      <c r="P756" s="3">
        <v>0</v>
      </c>
      <c r="Q756" s="3">
        <v>0</v>
      </c>
      <c r="R756" s="15">
        <v>2023</v>
      </c>
      <c r="S756" s="128">
        <v>2026</v>
      </c>
    </row>
    <row r="757" spans="1:19" ht="32.25" customHeight="1">
      <c r="A757" s="76">
        <v>313</v>
      </c>
      <c r="B757" s="7" t="s">
        <v>198</v>
      </c>
      <c r="C757" s="76">
        <v>1953</v>
      </c>
      <c r="D757" s="76" t="s">
        <v>118</v>
      </c>
      <c r="E757" s="76">
        <v>2</v>
      </c>
      <c r="F757" s="76">
        <v>2</v>
      </c>
      <c r="G757" s="1">
        <v>790.9</v>
      </c>
      <c r="H757" s="1">
        <v>723.2</v>
      </c>
      <c r="I757" s="1">
        <v>416.9</v>
      </c>
      <c r="J757" s="16">
        <v>31</v>
      </c>
      <c r="K757" s="1">
        <f t="shared" si="141"/>
        <v>1927617.46</v>
      </c>
      <c r="L757" s="3">
        <v>0</v>
      </c>
      <c r="M757" s="3">
        <v>0</v>
      </c>
      <c r="N757" s="1">
        <v>1927617.46</v>
      </c>
      <c r="O757" s="3">
        <v>0</v>
      </c>
      <c r="P757" s="3">
        <v>0</v>
      </c>
      <c r="Q757" s="3">
        <v>0</v>
      </c>
      <c r="R757" s="15">
        <v>2017</v>
      </c>
      <c r="S757" s="128">
        <v>2026</v>
      </c>
    </row>
    <row r="758" spans="1:19" ht="32.25" customHeight="1">
      <c r="A758" s="76">
        <v>314</v>
      </c>
      <c r="B758" s="7" t="s">
        <v>199</v>
      </c>
      <c r="C758" s="76">
        <v>1959</v>
      </c>
      <c r="D758" s="76" t="s">
        <v>86</v>
      </c>
      <c r="E758" s="76">
        <v>2</v>
      </c>
      <c r="F758" s="76">
        <v>2</v>
      </c>
      <c r="G758" s="1">
        <v>686</v>
      </c>
      <c r="H758" s="1">
        <v>637.5</v>
      </c>
      <c r="I758" s="1">
        <v>594.29999999999995</v>
      </c>
      <c r="J758" s="16">
        <v>32</v>
      </c>
      <c r="K758" s="1">
        <f t="shared" si="141"/>
        <v>505008</v>
      </c>
      <c r="L758" s="3">
        <v>0</v>
      </c>
      <c r="M758" s="3">
        <v>0</v>
      </c>
      <c r="N758" s="1">
        <v>505008</v>
      </c>
      <c r="O758" s="3">
        <v>0</v>
      </c>
      <c r="P758" s="3">
        <v>0</v>
      </c>
      <c r="Q758" s="3">
        <v>0</v>
      </c>
      <c r="R758" s="15">
        <v>2026</v>
      </c>
      <c r="S758" s="128">
        <v>2026</v>
      </c>
    </row>
    <row r="759" spans="1:19" ht="32.25" customHeight="1">
      <c r="A759" s="158" t="s">
        <v>280</v>
      </c>
      <c r="B759" s="160"/>
      <c r="C759" s="76"/>
      <c r="D759" s="76"/>
      <c r="E759" s="76"/>
      <c r="F759" s="76"/>
      <c r="G759" s="1">
        <f>G760+G761</f>
        <v>789.40000000000009</v>
      </c>
      <c r="H759" s="1">
        <f t="shared" ref="H759:Q759" si="142">H760+H761</f>
        <v>789.40000000000009</v>
      </c>
      <c r="I759" s="1">
        <f t="shared" si="142"/>
        <v>670</v>
      </c>
      <c r="J759" s="16">
        <f t="shared" si="142"/>
        <v>21</v>
      </c>
      <c r="K759" s="1">
        <f t="shared" si="142"/>
        <v>4924940.42</v>
      </c>
      <c r="L759" s="1">
        <f t="shared" si="142"/>
        <v>0</v>
      </c>
      <c r="M759" s="1">
        <f t="shared" si="142"/>
        <v>0</v>
      </c>
      <c r="N759" s="1">
        <f t="shared" si="142"/>
        <v>4924940.42</v>
      </c>
      <c r="O759" s="1">
        <f t="shared" si="142"/>
        <v>0</v>
      </c>
      <c r="P759" s="1">
        <f t="shared" si="142"/>
        <v>0</v>
      </c>
      <c r="Q759" s="1">
        <f t="shared" si="142"/>
        <v>0</v>
      </c>
      <c r="R759" s="15" t="s">
        <v>52</v>
      </c>
      <c r="S759" s="128" t="s">
        <v>52</v>
      </c>
    </row>
    <row r="760" spans="1:19" ht="29.25" customHeight="1">
      <c r="A760" s="76">
        <v>315</v>
      </c>
      <c r="B760" s="20" t="s">
        <v>813</v>
      </c>
      <c r="C760" s="76">
        <v>1992</v>
      </c>
      <c r="D760" s="76" t="s">
        <v>132</v>
      </c>
      <c r="E760" s="76">
        <v>2</v>
      </c>
      <c r="F760" s="76">
        <v>1</v>
      </c>
      <c r="G760" s="1">
        <v>445.8</v>
      </c>
      <c r="H760" s="2">
        <v>445.8</v>
      </c>
      <c r="I760" s="2">
        <v>398.4</v>
      </c>
      <c r="J760" s="128">
        <v>14</v>
      </c>
      <c r="K760" s="8">
        <v>4112484.42</v>
      </c>
      <c r="L760" s="3">
        <v>0</v>
      </c>
      <c r="M760" s="3">
        <v>0</v>
      </c>
      <c r="N760" s="8">
        <v>4112484.42</v>
      </c>
      <c r="O760" s="3">
        <v>0</v>
      </c>
      <c r="P760" s="3">
        <v>0</v>
      </c>
      <c r="Q760" s="3">
        <v>0</v>
      </c>
      <c r="R760" s="133">
        <v>2025</v>
      </c>
      <c r="S760" s="133">
        <v>2026</v>
      </c>
    </row>
    <row r="761" spans="1:19" ht="35.25" customHeight="1">
      <c r="A761" s="76">
        <v>316</v>
      </c>
      <c r="B761" s="14" t="s">
        <v>814</v>
      </c>
      <c r="C761" s="76">
        <v>1917</v>
      </c>
      <c r="D761" s="76" t="s">
        <v>75</v>
      </c>
      <c r="E761" s="76">
        <v>2</v>
      </c>
      <c r="F761" s="76">
        <v>1</v>
      </c>
      <c r="G761" s="1">
        <v>343.6</v>
      </c>
      <c r="H761" s="2">
        <v>343.6</v>
      </c>
      <c r="I761" s="2">
        <v>271.60000000000002</v>
      </c>
      <c r="J761" s="128">
        <v>7</v>
      </c>
      <c r="K761" s="8">
        <v>812456</v>
      </c>
      <c r="L761" s="3">
        <v>0</v>
      </c>
      <c r="M761" s="3">
        <v>0</v>
      </c>
      <c r="N761" s="8">
        <v>812456</v>
      </c>
      <c r="O761" s="3">
        <v>0</v>
      </c>
      <c r="P761" s="3">
        <v>0</v>
      </c>
      <c r="Q761" s="3">
        <v>0</v>
      </c>
      <c r="R761" s="133">
        <v>2025</v>
      </c>
      <c r="S761" s="133">
        <v>2026</v>
      </c>
    </row>
    <row r="762" spans="1:19" ht="32.25" customHeight="1">
      <c r="A762" s="158" t="s">
        <v>263</v>
      </c>
      <c r="B762" s="159"/>
      <c r="C762" s="159"/>
      <c r="D762" s="159"/>
      <c r="E762" s="159"/>
      <c r="F762" s="160"/>
      <c r="G762" s="1">
        <f>G763</f>
        <v>830.8</v>
      </c>
      <c r="H762" s="1">
        <f t="shared" ref="H762:Q762" si="143">H763</f>
        <v>764.7</v>
      </c>
      <c r="I762" s="1">
        <f t="shared" si="143"/>
        <v>764.7</v>
      </c>
      <c r="J762" s="16">
        <f t="shared" si="143"/>
        <v>23</v>
      </c>
      <c r="K762" s="1">
        <f t="shared" si="143"/>
        <v>4381187.51</v>
      </c>
      <c r="L762" s="3">
        <f t="shared" si="143"/>
        <v>0</v>
      </c>
      <c r="M762" s="3">
        <f t="shared" si="143"/>
        <v>0</v>
      </c>
      <c r="N762" s="1">
        <f t="shared" si="143"/>
        <v>977911.68</v>
      </c>
      <c r="O762" s="1">
        <f t="shared" si="143"/>
        <v>3403275.83</v>
      </c>
      <c r="P762" s="3">
        <f t="shared" si="143"/>
        <v>0</v>
      </c>
      <c r="Q762" s="3">
        <f t="shared" si="143"/>
        <v>0</v>
      </c>
      <c r="R762" s="133" t="s">
        <v>52</v>
      </c>
      <c r="S762" s="133" t="s">
        <v>52</v>
      </c>
    </row>
    <row r="763" spans="1:19" ht="32.25" customHeight="1">
      <c r="A763" s="76">
        <v>317</v>
      </c>
      <c r="B763" s="121" t="s">
        <v>264</v>
      </c>
      <c r="C763" s="95">
        <v>1974</v>
      </c>
      <c r="D763" s="76" t="s">
        <v>86</v>
      </c>
      <c r="E763" s="95">
        <v>2</v>
      </c>
      <c r="F763" s="95">
        <v>2</v>
      </c>
      <c r="G763" s="8">
        <v>830.8</v>
      </c>
      <c r="H763" s="8">
        <v>764.7</v>
      </c>
      <c r="I763" s="8">
        <v>764.7</v>
      </c>
      <c r="J763" s="13">
        <v>23</v>
      </c>
      <c r="K763" s="1">
        <f>L763+M763+N763+O763+P763+Q763</f>
        <v>4381187.51</v>
      </c>
      <c r="L763" s="3">
        <v>0</v>
      </c>
      <c r="M763" s="3">
        <v>0</v>
      </c>
      <c r="N763" s="1">
        <v>977911.68</v>
      </c>
      <c r="O763" s="1">
        <v>3403275.83</v>
      </c>
      <c r="P763" s="3">
        <v>0</v>
      </c>
      <c r="Q763" s="3">
        <v>0</v>
      </c>
      <c r="R763" s="133">
        <v>2023</v>
      </c>
      <c r="S763" s="133">
        <v>2026</v>
      </c>
    </row>
    <row r="764" spans="1:19" ht="35.25" customHeight="1">
      <c r="A764" s="158" t="s">
        <v>138</v>
      </c>
      <c r="B764" s="159"/>
      <c r="C764" s="159"/>
      <c r="D764" s="159"/>
      <c r="E764" s="159"/>
      <c r="F764" s="160"/>
      <c r="G764" s="1">
        <f>G765</f>
        <v>411.7</v>
      </c>
      <c r="H764" s="1">
        <f t="shared" ref="H764:O764" si="144">H765</f>
        <v>380</v>
      </c>
      <c r="I764" s="1">
        <f t="shared" si="144"/>
        <v>188.1</v>
      </c>
      <c r="J764" s="15">
        <f t="shared" si="144"/>
        <v>33</v>
      </c>
      <c r="K764" s="1">
        <f t="shared" si="144"/>
        <v>2689563.73</v>
      </c>
      <c r="L764" s="3">
        <f t="shared" si="144"/>
        <v>0</v>
      </c>
      <c r="M764" s="3">
        <f t="shared" si="144"/>
        <v>0</v>
      </c>
      <c r="N764" s="1">
        <f t="shared" si="144"/>
        <v>2689563.73</v>
      </c>
      <c r="O764" s="3">
        <f t="shared" si="144"/>
        <v>0</v>
      </c>
      <c r="P764" s="3">
        <v>0</v>
      </c>
      <c r="Q764" s="3">
        <v>0</v>
      </c>
      <c r="R764" s="133" t="s">
        <v>52</v>
      </c>
      <c r="S764" s="133" t="s">
        <v>52</v>
      </c>
    </row>
    <row r="765" spans="1:19">
      <c r="A765" s="76">
        <v>318</v>
      </c>
      <c r="B765" s="121" t="s">
        <v>541</v>
      </c>
      <c r="C765" s="95">
        <v>1961</v>
      </c>
      <c r="D765" s="95" t="s">
        <v>75</v>
      </c>
      <c r="E765" s="95">
        <v>2</v>
      </c>
      <c r="F765" s="95">
        <v>2</v>
      </c>
      <c r="G765" s="8">
        <v>411.7</v>
      </c>
      <c r="H765" s="8">
        <v>380</v>
      </c>
      <c r="I765" s="8">
        <v>188.1</v>
      </c>
      <c r="J765" s="15">
        <v>33</v>
      </c>
      <c r="K765" s="19">
        <v>2689563.73</v>
      </c>
      <c r="L765" s="3">
        <v>0</v>
      </c>
      <c r="M765" s="3">
        <v>0</v>
      </c>
      <c r="N765" s="19">
        <v>2689563.73</v>
      </c>
      <c r="O765" s="3">
        <v>0</v>
      </c>
      <c r="P765" s="3">
        <v>0</v>
      </c>
      <c r="Q765" s="3">
        <v>0</v>
      </c>
      <c r="R765" s="133">
        <v>2026</v>
      </c>
      <c r="S765" s="133">
        <v>2026</v>
      </c>
    </row>
    <row r="766" spans="1:19" ht="41.25" customHeight="1">
      <c r="A766" s="158" t="s">
        <v>326</v>
      </c>
      <c r="B766" s="159"/>
      <c r="C766" s="159"/>
      <c r="D766" s="159"/>
      <c r="E766" s="159"/>
      <c r="F766" s="160"/>
      <c r="G766" s="8">
        <f>SUM(G767:G785)</f>
        <v>36736.53</v>
      </c>
      <c r="H766" s="8">
        <f t="shared" ref="H766:Q766" si="145">SUM(H767:H785)</f>
        <v>30586.830000000009</v>
      </c>
      <c r="I766" s="8">
        <f t="shared" si="145"/>
        <v>25060.040000000005</v>
      </c>
      <c r="J766" s="58">
        <f t="shared" si="145"/>
        <v>1098</v>
      </c>
      <c r="K766" s="8">
        <f t="shared" si="145"/>
        <v>120533255.84981202</v>
      </c>
      <c r="L766" s="8">
        <f t="shared" si="145"/>
        <v>0</v>
      </c>
      <c r="M766" s="8">
        <f t="shared" si="145"/>
        <v>394000</v>
      </c>
      <c r="N766" s="8">
        <f t="shared" si="145"/>
        <v>113343317.95981203</v>
      </c>
      <c r="O766" s="8">
        <f t="shared" si="145"/>
        <v>6795937.8899999997</v>
      </c>
      <c r="P766" s="8">
        <f t="shared" si="145"/>
        <v>0</v>
      </c>
      <c r="Q766" s="8">
        <f t="shared" si="145"/>
        <v>1.862645149230957E-9</v>
      </c>
      <c r="R766" s="133" t="s">
        <v>52</v>
      </c>
      <c r="S766" s="133" t="s">
        <v>52</v>
      </c>
    </row>
    <row r="767" spans="1:19">
      <c r="A767" s="76">
        <v>319</v>
      </c>
      <c r="B767" s="20" t="s">
        <v>815</v>
      </c>
      <c r="C767" s="76">
        <v>1957</v>
      </c>
      <c r="D767" s="95" t="s">
        <v>75</v>
      </c>
      <c r="E767" s="76">
        <v>3</v>
      </c>
      <c r="F767" s="76">
        <v>3</v>
      </c>
      <c r="G767" s="8">
        <v>1373.3</v>
      </c>
      <c r="H767" s="8">
        <v>1373.3</v>
      </c>
      <c r="I767" s="8">
        <v>1155.3</v>
      </c>
      <c r="J767" s="15">
        <v>40</v>
      </c>
      <c r="K767" s="19">
        <v>5959675.4000000004</v>
      </c>
      <c r="L767" s="3">
        <v>0</v>
      </c>
      <c r="M767" s="3">
        <v>0</v>
      </c>
      <c r="N767" s="19">
        <v>5959675.4000000004</v>
      </c>
      <c r="O767" s="8">
        <v>0</v>
      </c>
      <c r="P767" s="8">
        <v>0</v>
      </c>
      <c r="Q767" s="1">
        <f>K767-L767-M767-N767-O767</f>
        <v>0</v>
      </c>
      <c r="R767" s="15">
        <v>2023</v>
      </c>
      <c r="S767" s="15">
        <v>2026</v>
      </c>
    </row>
    <row r="768" spans="1:19">
      <c r="A768" s="76">
        <v>320</v>
      </c>
      <c r="B768" s="20" t="s">
        <v>831</v>
      </c>
      <c r="C768" s="76">
        <v>1949</v>
      </c>
      <c r="D768" s="95" t="s">
        <v>75</v>
      </c>
      <c r="E768" s="76">
        <v>3</v>
      </c>
      <c r="F768" s="76">
        <v>3</v>
      </c>
      <c r="G768" s="8">
        <v>2081.1</v>
      </c>
      <c r="H768" s="8">
        <v>972.4</v>
      </c>
      <c r="I768" s="8">
        <v>862.3</v>
      </c>
      <c r="J768" s="15">
        <v>40</v>
      </c>
      <c r="K768" s="19">
        <v>10217146.810000001</v>
      </c>
      <c r="L768" s="19">
        <v>0</v>
      </c>
      <c r="M768" s="19">
        <v>0</v>
      </c>
      <c r="N768" s="19">
        <v>10217146.810000001</v>
      </c>
      <c r="O768" s="19">
        <v>0</v>
      </c>
      <c r="P768" s="19">
        <v>0</v>
      </c>
      <c r="Q768" s="19">
        <v>0</v>
      </c>
      <c r="R768" s="15">
        <v>2016</v>
      </c>
      <c r="S768" s="15">
        <v>2026</v>
      </c>
    </row>
    <row r="769" spans="1:19">
      <c r="A769" s="76">
        <v>321</v>
      </c>
      <c r="B769" s="20" t="s">
        <v>830</v>
      </c>
      <c r="C769" s="76">
        <v>1952</v>
      </c>
      <c r="D769" s="95" t="s">
        <v>75</v>
      </c>
      <c r="E769" s="76">
        <v>2</v>
      </c>
      <c r="F769" s="76">
        <v>2</v>
      </c>
      <c r="G769" s="8">
        <v>898.3</v>
      </c>
      <c r="H769" s="8">
        <v>898.3</v>
      </c>
      <c r="I769" s="8">
        <v>517</v>
      </c>
      <c r="J769" s="15">
        <v>18</v>
      </c>
      <c r="K769" s="19">
        <v>6619334.7000000002</v>
      </c>
      <c r="L769" s="3">
        <v>0</v>
      </c>
      <c r="M769" s="3">
        <v>0</v>
      </c>
      <c r="N769" s="19">
        <v>6619334.7000000002</v>
      </c>
      <c r="O769" s="8">
        <v>0</v>
      </c>
      <c r="P769" s="8">
        <v>0</v>
      </c>
      <c r="Q769" s="1">
        <f t="shared" ref="Q769:Q785" si="146">K769-L769-M769-N769-O769</f>
        <v>0</v>
      </c>
      <c r="R769" s="15">
        <v>2023</v>
      </c>
      <c r="S769" s="15">
        <v>2026</v>
      </c>
    </row>
    <row r="770" spans="1:19">
      <c r="A770" s="76">
        <v>322</v>
      </c>
      <c r="B770" s="20" t="s">
        <v>829</v>
      </c>
      <c r="C770" s="76">
        <v>1917</v>
      </c>
      <c r="D770" s="95" t="s">
        <v>75</v>
      </c>
      <c r="E770" s="76">
        <v>2</v>
      </c>
      <c r="F770" s="76">
        <v>1</v>
      </c>
      <c r="G770" s="8">
        <v>259.7</v>
      </c>
      <c r="H770" s="8">
        <v>224</v>
      </c>
      <c r="I770" s="8">
        <v>224</v>
      </c>
      <c r="J770" s="15">
        <v>6</v>
      </c>
      <c r="K770" s="19">
        <v>2722911.92</v>
      </c>
      <c r="L770" s="3">
        <v>0</v>
      </c>
      <c r="M770" s="3">
        <v>0</v>
      </c>
      <c r="N770" s="19">
        <v>2722911.92</v>
      </c>
      <c r="O770" s="8">
        <v>0</v>
      </c>
      <c r="P770" s="8">
        <v>0</v>
      </c>
      <c r="Q770" s="1">
        <f t="shared" si="146"/>
        <v>0</v>
      </c>
      <c r="R770" s="15">
        <v>2023</v>
      </c>
      <c r="S770" s="15">
        <v>2026</v>
      </c>
    </row>
    <row r="771" spans="1:19">
      <c r="A771" s="76">
        <v>323</v>
      </c>
      <c r="B771" s="20" t="s">
        <v>828</v>
      </c>
      <c r="C771" s="76">
        <v>1971</v>
      </c>
      <c r="D771" s="95" t="s">
        <v>75</v>
      </c>
      <c r="E771" s="76">
        <v>2</v>
      </c>
      <c r="F771" s="76">
        <v>2</v>
      </c>
      <c r="G771" s="8">
        <v>466.3</v>
      </c>
      <c r="H771" s="8">
        <v>214.4</v>
      </c>
      <c r="I771" s="8">
        <v>214.4</v>
      </c>
      <c r="J771" s="15">
        <v>6</v>
      </c>
      <c r="K771" s="19">
        <v>5161036.72</v>
      </c>
      <c r="L771" s="3">
        <v>0</v>
      </c>
      <c r="M771" s="3">
        <v>0</v>
      </c>
      <c r="N771" s="19">
        <v>5161036.72</v>
      </c>
      <c r="O771" s="8">
        <v>0</v>
      </c>
      <c r="P771" s="8">
        <v>0</v>
      </c>
      <c r="Q771" s="1">
        <f t="shared" si="146"/>
        <v>0</v>
      </c>
      <c r="R771" s="15">
        <v>2024</v>
      </c>
      <c r="S771" s="15">
        <v>2026</v>
      </c>
    </row>
    <row r="772" spans="1:19">
      <c r="A772" s="76">
        <v>324</v>
      </c>
      <c r="B772" s="20" t="s">
        <v>827</v>
      </c>
      <c r="C772" s="76">
        <v>1959</v>
      </c>
      <c r="D772" s="95" t="s">
        <v>75</v>
      </c>
      <c r="E772" s="76">
        <v>2</v>
      </c>
      <c r="F772" s="76">
        <v>2</v>
      </c>
      <c r="G772" s="8">
        <v>749.2</v>
      </c>
      <c r="H772" s="8">
        <v>476.1</v>
      </c>
      <c r="I772" s="8">
        <v>476.1</v>
      </c>
      <c r="J772" s="15">
        <v>11</v>
      </c>
      <c r="K772" s="19">
        <v>5730479.4500000002</v>
      </c>
      <c r="L772" s="3">
        <v>0</v>
      </c>
      <c r="M772" s="3">
        <v>0</v>
      </c>
      <c r="N772" s="19">
        <v>5730479.4500000002</v>
      </c>
      <c r="O772" s="8">
        <v>0</v>
      </c>
      <c r="P772" s="8">
        <v>0</v>
      </c>
      <c r="Q772" s="1">
        <f t="shared" si="146"/>
        <v>0</v>
      </c>
      <c r="R772" s="15">
        <v>2024</v>
      </c>
      <c r="S772" s="15">
        <v>2026</v>
      </c>
    </row>
    <row r="773" spans="1:19">
      <c r="A773" s="76">
        <v>325</v>
      </c>
      <c r="B773" s="20" t="s">
        <v>826</v>
      </c>
      <c r="C773" s="76">
        <v>1953</v>
      </c>
      <c r="D773" s="95" t="s">
        <v>75</v>
      </c>
      <c r="E773" s="76">
        <v>2</v>
      </c>
      <c r="F773" s="76">
        <v>1</v>
      </c>
      <c r="G773" s="8">
        <v>1162.3</v>
      </c>
      <c r="H773" s="8">
        <v>579.1</v>
      </c>
      <c r="I773" s="8">
        <v>579.1</v>
      </c>
      <c r="J773" s="15">
        <v>15</v>
      </c>
      <c r="K773" s="19">
        <v>9856653.290000001</v>
      </c>
      <c r="L773" s="3">
        <v>0</v>
      </c>
      <c r="M773" s="3">
        <v>0</v>
      </c>
      <c r="N773" s="19">
        <v>9856653.2899999991</v>
      </c>
      <c r="O773" s="8">
        <v>0</v>
      </c>
      <c r="P773" s="8">
        <v>0</v>
      </c>
      <c r="Q773" s="1">
        <f t="shared" si="146"/>
        <v>1.862645149230957E-9</v>
      </c>
      <c r="R773" s="15">
        <v>2024</v>
      </c>
      <c r="S773" s="15">
        <v>2026</v>
      </c>
    </row>
    <row r="774" spans="1:19">
      <c r="A774" s="76">
        <v>326</v>
      </c>
      <c r="B774" s="20" t="s">
        <v>825</v>
      </c>
      <c r="C774" s="76">
        <v>1969</v>
      </c>
      <c r="D774" s="95" t="s">
        <v>75</v>
      </c>
      <c r="E774" s="76">
        <v>5</v>
      </c>
      <c r="F774" s="76">
        <v>2</v>
      </c>
      <c r="G774" s="8">
        <v>824.1</v>
      </c>
      <c r="H774" s="8">
        <v>649.4</v>
      </c>
      <c r="I774" s="8">
        <v>649.4</v>
      </c>
      <c r="J774" s="15">
        <v>21</v>
      </c>
      <c r="K774" s="19">
        <v>7676264.0199999996</v>
      </c>
      <c r="L774" s="3">
        <v>0</v>
      </c>
      <c r="M774" s="3">
        <v>0</v>
      </c>
      <c r="N774" s="19">
        <v>7676264.0199999996</v>
      </c>
      <c r="O774" s="8">
        <v>0</v>
      </c>
      <c r="P774" s="8">
        <v>0</v>
      </c>
      <c r="Q774" s="1">
        <f t="shared" si="146"/>
        <v>0</v>
      </c>
      <c r="R774" s="15">
        <v>2026</v>
      </c>
      <c r="S774" s="15">
        <v>2026</v>
      </c>
    </row>
    <row r="775" spans="1:19">
      <c r="A775" s="76">
        <v>327</v>
      </c>
      <c r="B775" s="20" t="s">
        <v>824</v>
      </c>
      <c r="C775" s="76">
        <v>1959</v>
      </c>
      <c r="D775" s="95" t="s">
        <v>75</v>
      </c>
      <c r="E775" s="76">
        <v>3</v>
      </c>
      <c r="F775" s="76">
        <v>2</v>
      </c>
      <c r="G775" s="8">
        <v>1239.5999999999999</v>
      </c>
      <c r="H775" s="8">
        <v>1020.1</v>
      </c>
      <c r="I775" s="8">
        <v>689.8</v>
      </c>
      <c r="J775" s="15">
        <v>40</v>
      </c>
      <c r="K775" s="19">
        <v>8415723.3499999996</v>
      </c>
      <c r="L775" s="3">
        <v>0</v>
      </c>
      <c r="M775" s="3">
        <v>0</v>
      </c>
      <c r="N775" s="19">
        <v>8415723.3499999996</v>
      </c>
      <c r="O775" s="8">
        <v>0</v>
      </c>
      <c r="P775" s="8">
        <v>0</v>
      </c>
      <c r="Q775" s="1">
        <f t="shared" si="146"/>
        <v>0</v>
      </c>
      <c r="R775" s="15">
        <v>2026</v>
      </c>
      <c r="S775" s="15">
        <v>2026</v>
      </c>
    </row>
    <row r="776" spans="1:19">
      <c r="A776" s="76">
        <v>328</v>
      </c>
      <c r="B776" s="20" t="s">
        <v>823</v>
      </c>
      <c r="C776" s="76">
        <v>1953</v>
      </c>
      <c r="D776" s="95" t="s">
        <v>75</v>
      </c>
      <c r="E776" s="76">
        <v>3</v>
      </c>
      <c r="F776" s="76">
        <v>4</v>
      </c>
      <c r="G776" s="8">
        <v>2476.6</v>
      </c>
      <c r="H776" s="8">
        <v>2241.8000000000002</v>
      </c>
      <c r="I776" s="8">
        <v>1888.1</v>
      </c>
      <c r="J776" s="15">
        <v>52</v>
      </c>
      <c r="K776" s="19">
        <v>6827112.71</v>
      </c>
      <c r="L776" s="3">
        <v>0</v>
      </c>
      <c r="M776" s="3">
        <v>0</v>
      </c>
      <c r="N776" s="19">
        <v>6827112.71</v>
      </c>
      <c r="O776" s="8">
        <v>0</v>
      </c>
      <c r="P776" s="8">
        <v>0</v>
      </c>
      <c r="Q776" s="1">
        <f t="shared" si="146"/>
        <v>0</v>
      </c>
      <c r="R776" s="15">
        <v>2026</v>
      </c>
      <c r="S776" s="15">
        <v>2026</v>
      </c>
    </row>
    <row r="777" spans="1:19">
      <c r="A777" s="76">
        <v>329</v>
      </c>
      <c r="B777" s="20" t="s">
        <v>822</v>
      </c>
      <c r="C777" s="76">
        <v>1918</v>
      </c>
      <c r="D777" s="95" t="s">
        <v>75</v>
      </c>
      <c r="E777" s="76">
        <v>2</v>
      </c>
      <c r="F777" s="76">
        <v>1</v>
      </c>
      <c r="G777" s="8">
        <v>440.5</v>
      </c>
      <c r="H777" s="8">
        <v>266.10000000000002</v>
      </c>
      <c r="I777" s="8">
        <v>212.8</v>
      </c>
      <c r="J777" s="15">
        <v>9</v>
      </c>
      <c r="K777" s="19">
        <v>422978.9</v>
      </c>
      <c r="L777" s="3">
        <v>0</v>
      </c>
      <c r="M777" s="3">
        <v>0</v>
      </c>
      <c r="N777" s="19">
        <v>422978.9</v>
      </c>
      <c r="O777" s="8">
        <v>0</v>
      </c>
      <c r="P777" s="8">
        <v>0</v>
      </c>
      <c r="Q777" s="1">
        <f t="shared" si="146"/>
        <v>0</v>
      </c>
      <c r="R777" s="15">
        <v>2026</v>
      </c>
      <c r="S777" s="15">
        <v>2026</v>
      </c>
    </row>
    <row r="778" spans="1:19">
      <c r="A778" s="76">
        <v>330</v>
      </c>
      <c r="B778" s="20" t="s">
        <v>821</v>
      </c>
      <c r="C778" s="76">
        <v>1992</v>
      </c>
      <c r="D778" s="76" t="s">
        <v>77</v>
      </c>
      <c r="E778" s="76">
        <v>9</v>
      </c>
      <c r="F778" s="76">
        <v>4</v>
      </c>
      <c r="G778" s="8">
        <v>8924.7000000000007</v>
      </c>
      <c r="H778" s="8">
        <v>8924.7000000000007</v>
      </c>
      <c r="I778" s="8">
        <v>7629.3</v>
      </c>
      <c r="J778" s="15">
        <v>296</v>
      </c>
      <c r="K778" s="19">
        <v>12939280.24</v>
      </c>
      <c r="L778" s="3">
        <v>0</v>
      </c>
      <c r="M778" s="3">
        <v>0</v>
      </c>
      <c r="N778" s="19">
        <v>12939280.24</v>
      </c>
      <c r="O778" s="8">
        <v>0</v>
      </c>
      <c r="P778" s="8">
        <v>0</v>
      </c>
      <c r="Q778" s="1">
        <f t="shared" si="146"/>
        <v>0</v>
      </c>
      <c r="R778" s="15">
        <v>2026</v>
      </c>
      <c r="S778" s="15">
        <v>2026</v>
      </c>
    </row>
    <row r="779" spans="1:19">
      <c r="A779" s="76">
        <v>331</v>
      </c>
      <c r="B779" s="77" t="s">
        <v>816</v>
      </c>
      <c r="C779" s="76">
        <v>1966</v>
      </c>
      <c r="D779" s="95" t="s">
        <v>449</v>
      </c>
      <c r="E779" s="76">
        <v>5</v>
      </c>
      <c r="F779" s="76">
        <v>3</v>
      </c>
      <c r="G779" s="8">
        <v>2671.1</v>
      </c>
      <c r="H779" s="8">
        <v>2017.3</v>
      </c>
      <c r="I779" s="8">
        <v>1311.11</v>
      </c>
      <c r="J779" s="15">
        <v>106</v>
      </c>
      <c r="K779" s="19">
        <v>7289383.3799999999</v>
      </c>
      <c r="L779" s="3">
        <v>0</v>
      </c>
      <c r="M779" s="3">
        <v>0</v>
      </c>
      <c r="N779" s="19">
        <v>4368894.3600000003</v>
      </c>
      <c r="O779" s="8">
        <v>2920489.02</v>
      </c>
      <c r="P779" s="8">
        <v>0</v>
      </c>
      <c r="Q779" s="1">
        <f t="shared" si="146"/>
        <v>0</v>
      </c>
      <c r="R779" s="15">
        <v>2018</v>
      </c>
      <c r="S779" s="15">
        <v>2026</v>
      </c>
    </row>
    <row r="780" spans="1:19">
      <c r="A780" s="76">
        <v>332</v>
      </c>
      <c r="B780" s="77" t="s">
        <v>817</v>
      </c>
      <c r="C780" s="76">
        <v>1962</v>
      </c>
      <c r="D780" s="95" t="s">
        <v>75</v>
      </c>
      <c r="E780" s="76">
        <v>2</v>
      </c>
      <c r="F780" s="76">
        <v>1</v>
      </c>
      <c r="G780" s="8">
        <v>326.3</v>
      </c>
      <c r="H780" s="8">
        <v>294.89999999999998</v>
      </c>
      <c r="I780" s="8">
        <v>294.89999999999998</v>
      </c>
      <c r="J780" s="15">
        <v>23</v>
      </c>
      <c r="K780" s="19">
        <v>1992301.3</v>
      </c>
      <c r="L780" s="3">
        <v>0</v>
      </c>
      <c r="M780" s="3">
        <v>0</v>
      </c>
      <c r="N780" s="19">
        <v>1198875.73</v>
      </c>
      <c r="O780" s="8">
        <v>793425.57</v>
      </c>
      <c r="P780" s="8">
        <v>0</v>
      </c>
      <c r="Q780" s="1">
        <f t="shared" si="146"/>
        <v>0</v>
      </c>
      <c r="R780" s="15">
        <v>2019</v>
      </c>
      <c r="S780" s="15">
        <v>2026</v>
      </c>
    </row>
    <row r="781" spans="1:19">
      <c r="A781" s="76">
        <v>333</v>
      </c>
      <c r="B781" s="62" t="s">
        <v>818</v>
      </c>
      <c r="C781" s="76">
        <v>1961</v>
      </c>
      <c r="D781" s="76" t="s">
        <v>449</v>
      </c>
      <c r="E781" s="76">
        <v>1</v>
      </c>
      <c r="F781" s="76">
        <v>1</v>
      </c>
      <c r="G781" s="8">
        <v>145.4</v>
      </c>
      <c r="H781" s="8">
        <v>145.4</v>
      </c>
      <c r="I781" s="8">
        <v>145.4</v>
      </c>
      <c r="J781" s="15">
        <v>15</v>
      </c>
      <c r="K781" s="19">
        <v>3874020.3</v>
      </c>
      <c r="L781" s="3">
        <v>0</v>
      </c>
      <c r="M781" s="3">
        <v>0</v>
      </c>
      <c r="N781" s="19">
        <v>791997</v>
      </c>
      <c r="O781" s="8">
        <v>3082023.3</v>
      </c>
      <c r="P781" s="8">
        <v>0</v>
      </c>
      <c r="Q781" s="1">
        <f t="shared" si="146"/>
        <v>0</v>
      </c>
      <c r="R781" s="15">
        <v>2016</v>
      </c>
      <c r="S781" s="15">
        <v>2026</v>
      </c>
    </row>
    <row r="782" spans="1:19">
      <c r="A782" s="76">
        <v>334</v>
      </c>
      <c r="B782" s="14" t="s">
        <v>819</v>
      </c>
      <c r="C782" s="76">
        <v>1972</v>
      </c>
      <c r="D782" s="95" t="s">
        <v>75</v>
      </c>
      <c r="E782" s="76">
        <v>5</v>
      </c>
      <c r="F782" s="76">
        <v>1</v>
      </c>
      <c r="G782" s="8">
        <v>3999.2</v>
      </c>
      <c r="H782" s="8">
        <v>2344.5</v>
      </c>
      <c r="I782" s="8">
        <v>1987.8</v>
      </c>
      <c r="J782" s="15">
        <v>231</v>
      </c>
      <c r="K782" s="19">
        <v>8208861.9598120227</v>
      </c>
      <c r="L782" s="3">
        <v>0</v>
      </c>
      <c r="M782" s="3">
        <v>0</v>
      </c>
      <c r="N782" s="19">
        <v>8208861.9598120227</v>
      </c>
      <c r="O782" s="8">
        <v>0</v>
      </c>
      <c r="P782" s="8">
        <v>0</v>
      </c>
      <c r="Q782" s="1">
        <f t="shared" si="146"/>
        <v>0</v>
      </c>
      <c r="R782" s="15">
        <v>2023</v>
      </c>
      <c r="S782" s="15">
        <v>2026</v>
      </c>
    </row>
    <row r="783" spans="1:19">
      <c r="A783" s="76">
        <v>335</v>
      </c>
      <c r="B783" s="92" t="s">
        <v>820</v>
      </c>
      <c r="C783" s="122">
        <v>1979</v>
      </c>
      <c r="D783" s="95" t="s">
        <v>75</v>
      </c>
      <c r="E783" s="122">
        <v>5</v>
      </c>
      <c r="F783" s="122">
        <v>1</v>
      </c>
      <c r="G783" s="8">
        <v>3234.5</v>
      </c>
      <c r="H783" s="8">
        <v>2950.2</v>
      </c>
      <c r="I783" s="8">
        <v>1228.4000000000001</v>
      </c>
      <c r="J783" s="15">
        <v>27</v>
      </c>
      <c r="K783" s="19">
        <v>7221755.1900000004</v>
      </c>
      <c r="L783" s="3">
        <v>0</v>
      </c>
      <c r="M783" s="19">
        <v>394000</v>
      </c>
      <c r="N783" s="19">
        <f>K783-M783</f>
        <v>6827755.1900000004</v>
      </c>
      <c r="O783" s="8">
        <v>0</v>
      </c>
      <c r="P783" s="8">
        <v>0</v>
      </c>
      <c r="Q783" s="1">
        <f t="shared" si="146"/>
        <v>0</v>
      </c>
      <c r="R783" s="27">
        <v>2023</v>
      </c>
      <c r="S783" s="15">
        <v>2026</v>
      </c>
    </row>
    <row r="784" spans="1:19" ht="37.5">
      <c r="A784" s="76">
        <v>336</v>
      </c>
      <c r="B784" s="20" t="s">
        <v>450</v>
      </c>
      <c r="C784" s="122">
        <v>1963</v>
      </c>
      <c r="D784" s="122" t="s">
        <v>86</v>
      </c>
      <c r="E784" s="61">
        <v>2</v>
      </c>
      <c r="F784" s="122">
        <v>1</v>
      </c>
      <c r="G784" s="8">
        <v>395</v>
      </c>
      <c r="H784" s="8">
        <v>374.9</v>
      </c>
      <c r="I784" s="8">
        <v>374.9</v>
      </c>
      <c r="J784" s="15">
        <v>15</v>
      </c>
      <c r="K784" s="19">
        <v>1245533</v>
      </c>
      <c r="L784" s="3">
        <v>0</v>
      </c>
      <c r="M784" s="3">
        <v>0</v>
      </c>
      <c r="N784" s="19">
        <v>1245533</v>
      </c>
      <c r="O784" s="8">
        <v>0</v>
      </c>
      <c r="P784" s="8">
        <v>0</v>
      </c>
      <c r="Q784" s="1">
        <f t="shared" si="146"/>
        <v>0</v>
      </c>
      <c r="R784" s="27">
        <v>2021</v>
      </c>
      <c r="S784" s="15">
        <v>2026</v>
      </c>
    </row>
    <row r="785" spans="1:19">
      <c r="A785" s="128">
        <v>337</v>
      </c>
      <c r="B785" s="20" t="s">
        <v>451</v>
      </c>
      <c r="C785" s="128">
        <v>1992</v>
      </c>
      <c r="D785" s="133" t="s">
        <v>77</v>
      </c>
      <c r="E785" s="128">
        <v>5</v>
      </c>
      <c r="F785" s="128">
        <v>6</v>
      </c>
      <c r="G785" s="8">
        <v>5069.33</v>
      </c>
      <c r="H785" s="8">
        <v>4619.93</v>
      </c>
      <c r="I785" s="8">
        <v>4619.93</v>
      </c>
      <c r="J785" s="15">
        <v>127</v>
      </c>
      <c r="K785" s="1">
        <v>8152803.21</v>
      </c>
      <c r="L785" s="3">
        <v>0</v>
      </c>
      <c r="M785" s="3">
        <v>0</v>
      </c>
      <c r="N785" s="1">
        <v>8152803.21</v>
      </c>
      <c r="O785" s="8">
        <v>0</v>
      </c>
      <c r="P785" s="133"/>
      <c r="Q785" s="1">
        <f t="shared" si="146"/>
        <v>0</v>
      </c>
      <c r="R785" s="15">
        <v>2025</v>
      </c>
      <c r="S785" s="15">
        <v>2026</v>
      </c>
    </row>
    <row r="786" spans="1:19" ht="41.25" customHeight="1">
      <c r="A786" s="165" t="s">
        <v>327</v>
      </c>
      <c r="B786" s="165"/>
      <c r="C786" s="165"/>
      <c r="D786" s="165"/>
      <c r="E786" s="165"/>
      <c r="F786" s="165"/>
      <c r="G786" s="1">
        <f>G787</f>
        <v>626</v>
      </c>
      <c r="H786" s="3">
        <f t="shared" ref="H786:Q786" si="147">H787</f>
        <v>576.79999999999995</v>
      </c>
      <c r="I786" s="3">
        <f t="shared" si="147"/>
        <v>576.79999999999995</v>
      </c>
      <c r="J786" s="133">
        <f t="shared" si="147"/>
        <v>18</v>
      </c>
      <c r="K786" s="1">
        <f t="shared" si="147"/>
        <v>5436503.79</v>
      </c>
      <c r="L786" s="3">
        <f t="shared" si="147"/>
        <v>0</v>
      </c>
      <c r="M786" s="3">
        <f t="shared" si="147"/>
        <v>0</v>
      </c>
      <c r="N786" s="1">
        <f t="shared" si="147"/>
        <v>5436503.79</v>
      </c>
      <c r="O786" s="3">
        <f t="shared" si="147"/>
        <v>0</v>
      </c>
      <c r="P786" s="3">
        <f t="shared" si="147"/>
        <v>0</v>
      </c>
      <c r="Q786" s="3">
        <f t="shared" si="147"/>
        <v>0</v>
      </c>
      <c r="R786" s="133" t="s">
        <v>52</v>
      </c>
      <c r="S786" s="133" t="s">
        <v>52</v>
      </c>
    </row>
    <row r="787" spans="1:19">
      <c r="A787" s="132">
        <v>338</v>
      </c>
      <c r="B787" s="148" t="s">
        <v>832</v>
      </c>
      <c r="C787" s="149">
        <v>1981</v>
      </c>
      <c r="D787" s="61" t="s">
        <v>75</v>
      </c>
      <c r="E787" s="149">
        <v>2</v>
      </c>
      <c r="F787" s="149">
        <v>2</v>
      </c>
      <c r="G787" s="150">
        <v>626</v>
      </c>
      <c r="H787" s="151">
        <v>576.79999999999995</v>
      </c>
      <c r="I787" s="151">
        <v>576.79999999999995</v>
      </c>
      <c r="J787" s="151">
        <v>18</v>
      </c>
      <c r="K787" s="152">
        <v>5436503.79</v>
      </c>
      <c r="L787" s="153">
        <v>0</v>
      </c>
      <c r="M787" s="153">
        <v>0</v>
      </c>
      <c r="N787" s="152">
        <v>5436503.79</v>
      </c>
      <c r="O787" s="153">
        <v>0</v>
      </c>
      <c r="P787" s="153">
        <v>0</v>
      </c>
      <c r="Q787" s="153">
        <v>0</v>
      </c>
      <c r="R787" s="149">
        <v>2025</v>
      </c>
      <c r="S787" s="149">
        <v>2026</v>
      </c>
    </row>
    <row r="788" spans="1:19" ht="32.25" customHeight="1">
      <c r="A788" s="158" t="s">
        <v>141</v>
      </c>
      <c r="B788" s="159"/>
      <c r="C788" s="159"/>
      <c r="D788" s="159"/>
      <c r="E788" s="159"/>
      <c r="F788" s="160"/>
      <c r="G788" s="1">
        <f>G789</f>
        <v>829.3</v>
      </c>
      <c r="H788" s="3">
        <f t="shared" ref="H788:O788" si="148">H789</f>
        <v>829.3</v>
      </c>
      <c r="I788" s="3">
        <f t="shared" si="148"/>
        <v>753</v>
      </c>
      <c r="J788" s="133">
        <f t="shared" si="148"/>
        <v>27</v>
      </c>
      <c r="K788" s="1">
        <f t="shared" si="148"/>
        <v>6433203.5</v>
      </c>
      <c r="L788" s="3">
        <v>0</v>
      </c>
      <c r="M788" s="3">
        <v>0</v>
      </c>
      <c r="N788" s="1">
        <f t="shared" si="148"/>
        <v>4931773.08</v>
      </c>
      <c r="O788" s="63">
        <f t="shared" si="148"/>
        <v>1501430.42</v>
      </c>
      <c r="P788" s="3">
        <v>0</v>
      </c>
      <c r="Q788" s="3">
        <v>0</v>
      </c>
      <c r="R788" s="133" t="s">
        <v>52</v>
      </c>
      <c r="S788" s="133" t="s">
        <v>52</v>
      </c>
    </row>
    <row r="789" spans="1:19">
      <c r="A789" s="76">
        <v>339</v>
      </c>
      <c r="B789" s="121" t="s">
        <v>542</v>
      </c>
      <c r="C789" s="95">
        <v>1977</v>
      </c>
      <c r="D789" s="95" t="s">
        <v>75</v>
      </c>
      <c r="E789" s="95">
        <v>2</v>
      </c>
      <c r="F789" s="95">
        <v>2</v>
      </c>
      <c r="G789" s="94">
        <v>829.3</v>
      </c>
      <c r="H789" s="8">
        <v>829.3</v>
      </c>
      <c r="I789" s="8">
        <v>753</v>
      </c>
      <c r="J789" s="15">
        <v>27</v>
      </c>
      <c r="K789" s="19">
        <f>L789+M789+N789+O789+P789</f>
        <v>6433203.5</v>
      </c>
      <c r="L789" s="3">
        <v>0</v>
      </c>
      <c r="M789" s="3">
        <v>0</v>
      </c>
      <c r="N789" s="19">
        <v>4931773.08</v>
      </c>
      <c r="O789" s="63">
        <v>1501430.42</v>
      </c>
      <c r="P789" s="3">
        <v>0</v>
      </c>
      <c r="Q789" s="3">
        <v>0</v>
      </c>
      <c r="R789" s="133">
        <v>2025</v>
      </c>
      <c r="S789" s="133">
        <v>2026</v>
      </c>
    </row>
    <row r="790" spans="1:19" ht="33.75" customHeight="1">
      <c r="A790" s="158" t="s">
        <v>181</v>
      </c>
      <c r="B790" s="159"/>
      <c r="C790" s="159"/>
      <c r="D790" s="159"/>
      <c r="E790" s="159"/>
      <c r="F790" s="160"/>
      <c r="G790" s="1">
        <f>G791</f>
        <v>783.2</v>
      </c>
      <c r="H790" s="3">
        <f t="shared" ref="H790:O790" si="149">H791</f>
        <v>734.8</v>
      </c>
      <c r="I790" s="3">
        <f t="shared" si="149"/>
        <v>552.79999999999995</v>
      </c>
      <c r="J790" s="133">
        <f t="shared" si="149"/>
        <v>32</v>
      </c>
      <c r="K790" s="1">
        <f t="shared" si="149"/>
        <v>3176559.9399999995</v>
      </c>
      <c r="L790" s="3">
        <v>0</v>
      </c>
      <c r="M790" s="3">
        <v>0</v>
      </c>
      <c r="N790" s="1">
        <f t="shared" si="149"/>
        <v>2111734.0099999998</v>
      </c>
      <c r="O790" s="63">
        <f t="shared" si="149"/>
        <v>1064825.93</v>
      </c>
      <c r="P790" s="3">
        <v>0</v>
      </c>
      <c r="Q790" s="3">
        <v>0</v>
      </c>
      <c r="R790" s="133" t="s">
        <v>52</v>
      </c>
      <c r="S790" s="133" t="s">
        <v>52</v>
      </c>
    </row>
    <row r="791" spans="1:19">
      <c r="A791" s="76">
        <v>340</v>
      </c>
      <c r="B791" s="121" t="s">
        <v>833</v>
      </c>
      <c r="C791" s="95">
        <v>1978</v>
      </c>
      <c r="D791" s="95" t="s">
        <v>75</v>
      </c>
      <c r="E791" s="95">
        <v>2</v>
      </c>
      <c r="F791" s="95">
        <v>2</v>
      </c>
      <c r="G791" s="94">
        <v>783.2</v>
      </c>
      <c r="H791" s="8">
        <v>734.8</v>
      </c>
      <c r="I791" s="8">
        <v>552.79999999999995</v>
      </c>
      <c r="J791" s="15">
        <v>32</v>
      </c>
      <c r="K791" s="19">
        <f>SUM(L791:Q791)</f>
        <v>3176559.9399999995</v>
      </c>
      <c r="L791" s="3">
        <v>0</v>
      </c>
      <c r="M791" s="3">
        <v>0</v>
      </c>
      <c r="N791" s="19">
        <v>2111734.0099999998</v>
      </c>
      <c r="O791" s="63">
        <v>1064825.93</v>
      </c>
      <c r="P791" s="3">
        <v>0</v>
      </c>
      <c r="Q791" s="3">
        <v>0</v>
      </c>
      <c r="R791" s="133">
        <v>2021</v>
      </c>
      <c r="S791" s="133">
        <v>2026</v>
      </c>
    </row>
    <row r="792" spans="1:19" ht="38.25" customHeight="1">
      <c r="A792" s="158" t="s">
        <v>139</v>
      </c>
      <c r="B792" s="159"/>
      <c r="C792" s="159"/>
      <c r="D792" s="159"/>
      <c r="E792" s="159"/>
      <c r="F792" s="160"/>
      <c r="G792" s="1">
        <f>G793</f>
        <v>848.7</v>
      </c>
      <c r="H792" s="3">
        <f t="shared" ref="H792:N792" si="150">H793</f>
        <v>848.7</v>
      </c>
      <c r="I792" s="3">
        <f t="shared" si="150"/>
        <v>454.4</v>
      </c>
      <c r="J792" s="133">
        <f t="shared" si="150"/>
        <v>30</v>
      </c>
      <c r="K792" s="1">
        <f t="shared" si="150"/>
        <v>6445590.3600000003</v>
      </c>
      <c r="L792" s="3">
        <f t="shared" ref="L792" si="151">L793</f>
        <v>0</v>
      </c>
      <c r="M792" s="3">
        <f t="shared" ref="M792" si="152">M793</f>
        <v>0</v>
      </c>
      <c r="N792" s="1">
        <f t="shared" si="150"/>
        <v>6445590.3600000003</v>
      </c>
      <c r="O792" s="3">
        <f t="shared" ref="O792" si="153">O793</f>
        <v>0</v>
      </c>
      <c r="P792" s="3">
        <v>0</v>
      </c>
      <c r="Q792" s="3">
        <v>0</v>
      </c>
      <c r="R792" s="133" t="s">
        <v>52</v>
      </c>
      <c r="S792" s="133" t="s">
        <v>52</v>
      </c>
    </row>
    <row r="793" spans="1:19" ht="18.75" customHeight="1">
      <c r="A793" s="76">
        <v>341</v>
      </c>
      <c r="B793" s="121" t="s">
        <v>140</v>
      </c>
      <c r="C793" s="95">
        <v>1978</v>
      </c>
      <c r="D793" s="76" t="s">
        <v>75</v>
      </c>
      <c r="E793" s="95">
        <v>2</v>
      </c>
      <c r="F793" s="95">
        <v>2</v>
      </c>
      <c r="G793" s="3">
        <v>848.7</v>
      </c>
      <c r="H793" s="3">
        <v>848.7</v>
      </c>
      <c r="I793" s="3">
        <v>454.4</v>
      </c>
      <c r="J793" s="133">
        <v>30</v>
      </c>
      <c r="K793" s="19">
        <v>6445590.3600000003</v>
      </c>
      <c r="L793" s="2">
        <v>0</v>
      </c>
      <c r="M793" s="2">
        <v>0</v>
      </c>
      <c r="N793" s="19">
        <v>6445590.3600000003</v>
      </c>
      <c r="O793" s="2">
        <v>0</v>
      </c>
      <c r="P793" s="2">
        <v>0</v>
      </c>
      <c r="Q793" s="2">
        <v>0</v>
      </c>
      <c r="R793" s="133">
        <v>2025</v>
      </c>
      <c r="S793" s="133">
        <v>2026</v>
      </c>
    </row>
    <row r="794" spans="1:19" ht="29.25" customHeight="1">
      <c r="A794" s="158" t="s">
        <v>318</v>
      </c>
      <c r="B794" s="159"/>
      <c r="C794" s="159"/>
      <c r="D794" s="159"/>
      <c r="E794" s="159"/>
      <c r="F794" s="160"/>
      <c r="G794" s="3">
        <f t="shared" ref="G794:Q794" si="154">SUM(G795:G795)</f>
        <v>285</v>
      </c>
      <c r="H794" s="3">
        <f t="shared" si="154"/>
        <v>273.2</v>
      </c>
      <c r="I794" s="3">
        <f t="shared" si="154"/>
        <v>273.2</v>
      </c>
      <c r="J794" s="133">
        <f t="shared" si="154"/>
        <v>15</v>
      </c>
      <c r="K794" s="1">
        <f t="shared" si="154"/>
        <v>2708106.47</v>
      </c>
      <c r="L794" s="3">
        <f t="shared" si="154"/>
        <v>0</v>
      </c>
      <c r="M794" s="3">
        <f t="shared" si="154"/>
        <v>0</v>
      </c>
      <c r="N794" s="1">
        <f t="shared" si="154"/>
        <v>2708106.47</v>
      </c>
      <c r="O794" s="3">
        <f t="shared" si="154"/>
        <v>0</v>
      </c>
      <c r="P794" s="3">
        <f t="shared" si="154"/>
        <v>0</v>
      </c>
      <c r="Q794" s="3">
        <f t="shared" si="154"/>
        <v>0</v>
      </c>
      <c r="R794" s="133" t="s">
        <v>52</v>
      </c>
      <c r="S794" s="133" t="s">
        <v>52</v>
      </c>
    </row>
    <row r="795" spans="1:19" ht="18.75" customHeight="1">
      <c r="A795" s="76">
        <v>342</v>
      </c>
      <c r="B795" s="121" t="s">
        <v>834</v>
      </c>
      <c r="C795" s="95" t="s">
        <v>163</v>
      </c>
      <c r="D795" s="76" t="s">
        <v>75</v>
      </c>
      <c r="E795" s="95">
        <v>2</v>
      </c>
      <c r="F795" s="95">
        <v>1</v>
      </c>
      <c r="G795" s="8">
        <v>285</v>
      </c>
      <c r="H795" s="8">
        <v>273.2</v>
      </c>
      <c r="I795" s="8">
        <v>273.2</v>
      </c>
      <c r="J795" s="58">
        <v>15</v>
      </c>
      <c r="K795" s="19">
        <v>2708106.47</v>
      </c>
      <c r="L795" s="2">
        <v>0</v>
      </c>
      <c r="M795" s="2">
        <v>0</v>
      </c>
      <c r="N795" s="19">
        <v>2708106.47</v>
      </c>
      <c r="O795" s="2">
        <v>0</v>
      </c>
      <c r="P795" s="2">
        <v>0</v>
      </c>
      <c r="Q795" s="2">
        <v>0</v>
      </c>
      <c r="R795" s="133">
        <v>2024</v>
      </c>
      <c r="S795" s="133">
        <v>2026</v>
      </c>
    </row>
    <row r="796" spans="1:19" ht="35.25" customHeight="1">
      <c r="A796" s="158" t="s">
        <v>183</v>
      </c>
      <c r="B796" s="159"/>
      <c r="C796" s="159"/>
      <c r="D796" s="159"/>
      <c r="E796" s="159"/>
      <c r="F796" s="160"/>
      <c r="G796" s="1">
        <f t="shared" ref="G796:Q796" si="155">SUM(G797:G798)</f>
        <v>821</v>
      </c>
      <c r="H796" s="1">
        <f t="shared" si="155"/>
        <v>771.5</v>
      </c>
      <c r="I796" s="3">
        <f t="shared" si="155"/>
        <v>689.30000000000007</v>
      </c>
      <c r="J796" s="133">
        <f t="shared" si="155"/>
        <v>28</v>
      </c>
      <c r="K796" s="1">
        <f t="shared" si="155"/>
        <v>4148694.49</v>
      </c>
      <c r="L796" s="3">
        <f t="shared" si="155"/>
        <v>0</v>
      </c>
      <c r="M796" s="3">
        <f t="shared" si="155"/>
        <v>0</v>
      </c>
      <c r="N796" s="1">
        <f t="shared" si="155"/>
        <v>2040305.04</v>
      </c>
      <c r="O796" s="1">
        <f t="shared" si="155"/>
        <v>2108389.4500000002</v>
      </c>
      <c r="P796" s="3">
        <f t="shared" si="155"/>
        <v>0</v>
      </c>
      <c r="Q796" s="3">
        <f t="shared" si="155"/>
        <v>0</v>
      </c>
      <c r="R796" s="133" t="s">
        <v>52</v>
      </c>
      <c r="S796" s="133" t="s">
        <v>52</v>
      </c>
    </row>
    <row r="797" spans="1:19" ht="18.75" customHeight="1">
      <c r="A797" s="76">
        <v>343</v>
      </c>
      <c r="B797" s="124" t="s">
        <v>835</v>
      </c>
      <c r="C797" s="95">
        <v>1969</v>
      </c>
      <c r="D797" s="76" t="s">
        <v>86</v>
      </c>
      <c r="E797" s="95">
        <v>2</v>
      </c>
      <c r="F797" s="95">
        <v>2</v>
      </c>
      <c r="G797" s="8">
        <v>675.9</v>
      </c>
      <c r="H797" s="8">
        <v>626.4</v>
      </c>
      <c r="I797" s="8">
        <v>544.20000000000005</v>
      </c>
      <c r="J797" s="13">
        <v>23</v>
      </c>
      <c r="K797" s="19">
        <v>481562.04</v>
      </c>
      <c r="L797" s="2">
        <v>0</v>
      </c>
      <c r="M797" s="2">
        <v>0</v>
      </c>
      <c r="N797" s="19">
        <v>481562.04</v>
      </c>
      <c r="O797" s="2">
        <v>0</v>
      </c>
      <c r="P797" s="2">
        <v>0</v>
      </c>
      <c r="Q797" s="2">
        <v>0</v>
      </c>
      <c r="R797" s="133">
        <v>2026</v>
      </c>
      <c r="S797" s="133">
        <v>2026</v>
      </c>
    </row>
    <row r="798" spans="1:19" ht="18.75" customHeight="1">
      <c r="A798" s="76">
        <v>344</v>
      </c>
      <c r="B798" s="124" t="s">
        <v>185</v>
      </c>
      <c r="C798" s="95">
        <v>1890</v>
      </c>
      <c r="D798" s="76" t="s">
        <v>132</v>
      </c>
      <c r="E798" s="95">
        <v>1</v>
      </c>
      <c r="F798" s="95">
        <v>4</v>
      </c>
      <c r="G798" s="8">
        <v>145.1</v>
      </c>
      <c r="H798" s="8">
        <v>145.1</v>
      </c>
      <c r="I798" s="8">
        <v>145.1</v>
      </c>
      <c r="J798" s="13">
        <v>5</v>
      </c>
      <c r="K798" s="19">
        <f>L798+M798+N798+O798+P798+Q798</f>
        <v>3667132.45</v>
      </c>
      <c r="L798" s="2">
        <v>0</v>
      </c>
      <c r="M798" s="2">
        <v>0</v>
      </c>
      <c r="N798" s="19">
        <v>1558743</v>
      </c>
      <c r="O798" s="8">
        <v>2108389.4500000002</v>
      </c>
      <c r="P798" s="2">
        <v>0</v>
      </c>
      <c r="Q798" s="2">
        <v>0</v>
      </c>
      <c r="R798" s="133">
        <v>2026</v>
      </c>
      <c r="S798" s="133">
        <v>2026</v>
      </c>
    </row>
    <row r="799" spans="1:19" ht="38.25" customHeight="1">
      <c r="A799" s="158" t="s">
        <v>333</v>
      </c>
      <c r="B799" s="159"/>
      <c r="C799" s="159"/>
      <c r="D799" s="159"/>
      <c r="E799" s="159"/>
      <c r="F799" s="160"/>
      <c r="G799" s="8">
        <f>G800+G801</f>
        <v>1820.1999999999998</v>
      </c>
      <c r="H799" s="8">
        <f t="shared" ref="H799:Q799" si="156">H800+H801</f>
        <v>1820.1999999999998</v>
      </c>
      <c r="I799" s="8">
        <f t="shared" si="156"/>
        <v>1165.1999999999998</v>
      </c>
      <c r="J799" s="128">
        <f t="shared" si="156"/>
        <v>87</v>
      </c>
      <c r="K799" s="8">
        <f t="shared" si="156"/>
        <v>9664284.9000000004</v>
      </c>
      <c r="L799" s="8">
        <f t="shared" si="156"/>
        <v>0</v>
      </c>
      <c r="M799" s="8">
        <f t="shared" si="156"/>
        <v>0</v>
      </c>
      <c r="N799" s="8">
        <f t="shared" si="156"/>
        <v>9664284.9000000004</v>
      </c>
      <c r="O799" s="8">
        <f t="shared" si="156"/>
        <v>0</v>
      </c>
      <c r="P799" s="8">
        <f t="shared" si="156"/>
        <v>0</v>
      </c>
      <c r="Q799" s="8">
        <f t="shared" si="156"/>
        <v>0</v>
      </c>
      <c r="R799" s="133" t="s">
        <v>52</v>
      </c>
      <c r="S799" s="133" t="s">
        <v>52</v>
      </c>
    </row>
    <row r="800" spans="1:19" ht="18.75" customHeight="1">
      <c r="A800" s="76">
        <v>345</v>
      </c>
      <c r="B800" s="71" t="s">
        <v>446</v>
      </c>
      <c r="C800" s="64">
        <v>1984</v>
      </c>
      <c r="D800" s="76" t="s">
        <v>75</v>
      </c>
      <c r="E800" s="64">
        <v>2</v>
      </c>
      <c r="F800" s="64">
        <v>3</v>
      </c>
      <c r="G800" s="8">
        <v>959.4</v>
      </c>
      <c r="H800" s="8">
        <v>959.4</v>
      </c>
      <c r="I800" s="8">
        <v>523.4</v>
      </c>
      <c r="J800" s="128">
        <v>51</v>
      </c>
      <c r="K800" s="19">
        <v>6240945.4299999997</v>
      </c>
      <c r="L800" s="2">
        <v>0</v>
      </c>
      <c r="M800" s="2">
        <v>0</v>
      </c>
      <c r="N800" s="19">
        <v>6240945.4299999997</v>
      </c>
      <c r="O800" s="2">
        <v>0</v>
      </c>
      <c r="P800" s="2">
        <v>0</v>
      </c>
      <c r="Q800" s="2">
        <v>0</v>
      </c>
      <c r="R800" s="133">
        <v>2025</v>
      </c>
      <c r="S800" s="133">
        <v>2026</v>
      </c>
    </row>
    <row r="801" spans="1:21" ht="18.75" customHeight="1">
      <c r="A801" s="76">
        <v>346</v>
      </c>
      <c r="B801" s="14" t="s">
        <v>447</v>
      </c>
      <c r="C801" s="95">
        <v>1973</v>
      </c>
      <c r="D801" s="121" t="s">
        <v>86</v>
      </c>
      <c r="E801" s="95">
        <v>2</v>
      </c>
      <c r="F801" s="95">
        <v>1</v>
      </c>
      <c r="G801" s="8">
        <v>860.8</v>
      </c>
      <c r="H801" s="8">
        <v>860.8</v>
      </c>
      <c r="I801" s="8">
        <v>641.79999999999995</v>
      </c>
      <c r="J801" s="128">
        <v>36</v>
      </c>
      <c r="K801" s="19">
        <v>3423339.47</v>
      </c>
      <c r="L801" s="2">
        <v>0</v>
      </c>
      <c r="M801" s="2">
        <v>0</v>
      </c>
      <c r="N801" s="19">
        <v>3423339.47</v>
      </c>
      <c r="O801" s="2">
        <v>0</v>
      </c>
      <c r="P801" s="2">
        <v>0</v>
      </c>
      <c r="Q801" s="2">
        <v>0</v>
      </c>
      <c r="R801" s="133">
        <v>2026</v>
      </c>
      <c r="S801" s="133">
        <v>2026</v>
      </c>
    </row>
    <row r="802" spans="1:21" ht="44.25" customHeight="1">
      <c r="A802" s="164" t="s">
        <v>41</v>
      </c>
      <c r="B802" s="164"/>
      <c r="C802" s="164"/>
      <c r="D802" s="164"/>
      <c r="E802" s="164"/>
      <c r="F802" s="164"/>
      <c r="G802" s="164"/>
      <c r="H802" s="164"/>
      <c r="I802" s="164"/>
      <c r="J802" s="164"/>
      <c r="K802" s="164"/>
      <c r="L802" s="164"/>
      <c r="M802" s="164"/>
      <c r="N802" s="164"/>
      <c r="O802" s="164"/>
      <c r="P802" s="164"/>
      <c r="Q802" s="164"/>
      <c r="R802" s="164"/>
      <c r="S802" s="164"/>
    </row>
    <row r="803" spans="1:21" ht="18.75" customHeight="1">
      <c r="A803" s="161" t="s">
        <v>328</v>
      </c>
      <c r="B803" s="162"/>
      <c r="C803" s="162"/>
      <c r="D803" s="162"/>
      <c r="E803" s="162"/>
      <c r="F803" s="163"/>
      <c r="G803" s="1">
        <f>G805+G807</f>
        <v>7844.1</v>
      </c>
      <c r="H803" s="1">
        <f t="shared" ref="H803:Q803" si="157">H805+H807</f>
        <v>7492.9000000000005</v>
      </c>
      <c r="I803" s="1">
        <f t="shared" si="157"/>
        <v>7492.9000000000005</v>
      </c>
      <c r="J803" s="133">
        <f t="shared" si="157"/>
        <v>300</v>
      </c>
      <c r="K803" s="1">
        <f t="shared" si="157"/>
        <v>1150975</v>
      </c>
      <c r="L803" s="3">
        <f t="shared" si="157"/>
        <v>0</v>
      </c>
      <c r="M803" s="3">
        <f t="shared" si="157"/>
        <v>0</v>
      </c>
      <c r="N803" s="80">
        <f t="shared" si="157"/>
        <v>1150975</v>
      </c>
      <c r="O803" s="3">
        <f t="shared" si="157"/>
        <v>0</v>
      </c>
      <c r="P803" s="3">
        <f t="shared" si="157"/>
        <v>0</v>
      </c>
      <c r="Q803" s="3">
        <f t="shared" si="157"/>
        <v>0</v>
      </c>
      <c r="R803" s="133" t="s">
        <v>52</v>
      </c>
      <c r="S803" s="133" t="s">
        <v>52</v>
      </c>
    </row>
    <row r="804" spans="1:21" ht="45.75" customHeight="1">
      <c r="A804" s="161" t="s">
        <v>19</v>
      </c>
      <c r="B804" s="162"/>
      <c r="C804" s="162"/>
      <c r="D804" s="162"/>
      <c r="E804" s="162"/>
      <c r="F804" s="162"/>
      <c r="G804" s="162"/>
      <c r="H804" s="162"/>
      <c r="I804" s="162"/>
      <c r="J804" s="162"/>
      <c r="K804" s="162"/>
      <c r="L804" s="162"/>
      <c r="M804" s="162"/>
      <c r="N804" s="162"/>
      <c r="O804" s="162"/>
      <c r="P804" s="162"/>
      <c r="Q804" s="162"/>
      <c r="R804" s="162"/>
      <c r="S804" s="163"/>
    </row>
    <row r="805" spans="1:21" ht="18.75" customHeight="1">
      <c r="A805" s="161" t="s">
        <v>328</v>
      </c>
      <c r="B805" s="162"/>
      <c r="C805" s="162"/>
      <c r="D805" s="162"/>
      <c r="E805" s="162"/>
      <c r="F805" s="163"/>
      <c r="G805" s="3">
        <v>0</v>
      </c>
      <c r="H805" s="3">
        <v>0</v>
      </c>
      <c r="I805" s="3">
        <v>0</v>
      </c>
      <c r="J805" s="13">
        <v>0</v>
      </c>
      <c r="K805" s="3">
        <v>0</v>
      </c>
      <c r="L805" s="3">
        <v>0</v>
      </c>
      <c r="M805" s="3">
        <v>0</v>
      </c>
      <c r="N805" s="3">
        <v>0</v>
      </c>
      <c r="O805" s="3">
        <v>0</v>
      </c>
      <c r="P805" s="3">
        <v>0</v>
      </c>
      <c r="Q805" s="3">
        <v>0</v>
      </c>
      <c r="R805" s="133" t="s">
        <v>52</v>
      </c>
      <c r="S805" s="133" t="s">
        <v>52</v>
      </c>
    </row>
    <row r="806" spans="1:21" ht="43.5" customHeight="1">
      <c r="A806" s="164" t="s">
        <v>20</v>
      </c>
      <c r="B806" s="164"/>
      <c r="C806" s="164"/>
      <c r="D806" s="164"/>
      <c r="E806" s="164"/>
      <c r="F806" s="164"/>
      <c r="G806" s="164"/>
      <c r="H806" s="164"/>
      <c r="I806" s="164"/>
      <c r="J806" s="164"/>
      <c r="K806" s="164"/>
      <c r="L806" s="164"/>
      <c r="M806" s="164"/>
      <c r="N806" s="164"/>
      <c r="O806" s="164"/>
      <c r="P806" s="164"/>
      <c r="Q806" s="164"/>
      <c r="R806" s="164"/>
      <c r="S806" s="164"/>
    </row>
    <row r="807" spans="1:21" ht="18.75" customHeight="1">
      <c r="A807" s="161" t="s">
        <v>328</v>
      </c>
      <c r="B807" s="162"/>
      <c r="C807" s="162"/>
      <c r="D807" s="162"/>
      <c r="E807" s="162"/>
      <c r="F807" s="163"/>
      <c r="G807" s="1">
        <f>G808</f>
        <v>7844.1</v>
      </c>
      <c r="H807" s="1">
        <f t="shared" ref="H807:N807" si="158">H808</f>
        <v>7492.9000000000005</v>
      </c>
      <c r="I807" s="1">
        <f t="shared" si="158"/>
        <v>7492.9000000000005</v>
      </c>
      <c r="J807" s="133">
        <f t="shared" si="158"/>
        <v>300</v>
      </c>
      <c r="K807" s="1">
        <f t="shared" si="158"/>
        <v>1150975</v>
      </c>
      <c r="L807" s="3">
        <f t="shared" ref="H807:Q808" si="159">SUM(L808:L813)</f>
        <v>0</v>
      </c>
      <c r="M807" s="3">
        <f t="shared" si="159"/>
        <v>0</v>
      </c>
      <c r="N807" s="1">
        <f t="shared" si="158"/>
        <v>1150975</v>
      </c>
      <c r="O807" s="3">
        <f t="shared" si="159"/>
        <v>0</v>
      </c>
      <c r="P807" s="3">
        <f t="shared" si="159"/>
        <v>0</v>
      </c>
      <c r="Q807" s="3">
        <f t="shared" si="159"/>
        <v>0</v>
      </c>
      <c r="R807" s="133" t="s">
        <v>52</v>
      </c>
      <c r="S807" s="133" t="s">
        <v>52</v>
      </c>
    </row>
    <row r="808" spans="1:21" ht="42" customHeight="1">
      <c r="A808" s="158" t="s">
        <v>204</v>
      </c>
      <c r="B808" s="159"/>
      <c r="C808" s="159"/>
      <c r="D808" s="159"/>
      <c r="E808" s="159"/>
      <c r="F808" s="160"/>
      <c r="G808" s="1">
        <f>SUM(G809:G814)</f>
        <v>7844.1</v>
      </c>
      <c r="H808" s="1">
        <f t="shared" si="159"/>
        <v>7492.9000000000005</v>
      </c>
      <c r="I808" s="1">
        <f t="shared" si="159"/>
        <v>7492.9000000000005</v>
      </c>
      <c r="J808" s="133">
        <f t="shared" si="159"/>
        <v>300</v>
      </c>
      <c r="K808" s="1">
        <f t="shared" si="159"/>
        <v>1150975</v>
      </c>
      <c r="L808" s="3">
        <f t="shared" si="159"/>
        <v>0</v>
      </c>
      <c r="M808" s="3">
        <f t="shared" si="159"/>
        <v>0</v>
      </c>
      <c r="N808" s="1">
        <f t="shared" si="159"/>
        <v>1150975</v>
      </c>
      <c r="O808" s="3">
        <f t="shared" si="159"/>
        <v>0</v>
      </c>
      <c r="P808" s="3">
        <f t="shared" si="159"/>
        <v>0</v>
      </c>
      <c r="Q808" s="3">
        <f t="shared" si="159"/>
        <v>0</v>
      </c>
      <c r="R808" s="133" t="s">
        <v>52</v>
      </c>
      <c r="S808" s="133" t="s">
        <v>52</v>
      </c>
    </row>
    <row r="809" spans="1:21" ht="19.5" customHeight="1">
      <c r="A809" s="76">
        <v>347</v>
      </c>
      <c r="B809" s="6" t="s">
        <v>836</v>
      </c>
      <c r="C809" s="95">
        <v>1973</v>
      </c>
      <c r="D809" s="95" t="s">
        <v>118</v>
      </c>
      <c r="E809" s="95">
        <v>2</v>
      </c>
      <c r="F809" s="95">
        <v>2</v>
      </c>
      <c r="G809" s="8">
        <v>571.29999999999995</v>
      </c>
      <c r="H809" s="8">
        <v>522.29999999999995</v>
      </c>
      <c r="I809" s="8">
        <v>522.29999999999995</v>
      </c>
      <c r="J809" s="133">
        <v>15</v>
      </c>
      <c r="K809" s="1">
        <v>144966</v>
      </c>
      <c r="L809" s="3">
        <v>0</v>
      </c>
      <c r="M809" s="3">
        <v>0</v>
      </c>
      <c r="N809" s="8">
        <v>144966</v>
      </c>
      <c r="O809" s="3">
        <v>0</v>
      </c>
      <c r="P809" s="3">
        <v>0</v>
      </c>
      <c r="Q809" s="3">
        <v>0</v>
      </c>
      <c r="R809" s="133">
        <v>2026</v>
      </c>
      <c r="S809" s="133">
        <v>2026</v>
      </c>
    </row>
    <row r="810" spans="1:21" ht="19.5" customHeight="1">
      <c r="A810" s="76">
        <v>348</v>
      </c>
      <c r="B810" s="6" t="s">
        <v>837</v>
      </c>
      <c r="C810" s="95">
        <v>1975</v>
      </c>
      <c r="D810" s="95" t="s">
        <v>75</v>
      </c>
      <c r="E810" s="95">
        <v>2</v>
      </c>
      <c r="F810" s="95">
        <v>2</v>
      </c>
      <c r="G810" s="8">
        <v>756.3</v>
      </c>
      <c r="H810" s="8">
        <v>738.7</v>
      </c>
      <c r="I810" s="8">
        <v>738.7</v>
      </c>
      <c r="J810" s="133">
        <v>31</v>
      </c>
      <c r="K810" s="1">
        <v>173160</v>
      </c>
      <c r="L810" s="3">
        <v>0</v>
      </c>
      <c r="M810" s="3">
        <v>0</v>
      </c>
      <c r="N810" s="8">
        <v>173160</v>
      </c>
      <c r="O810" s="3">
        <v>0</v>
      </c>
      <c r="P810" s="3">
        <v>0</v>
      </c>
      <c r="Q810" s="3">
        <v>0</v>
      </c>
      <c r="R810" s="133">
        <v>2026</v>
      </c>
      <c r="S810" s="133">
        <v>2026</v>
      </c>
    </row>
    <row r="811" spans="1:21" ht="19.5" customHeight="1">
      <c r="A811" s="76">
        <v>349</v>
      </c>
      <c r="B811" s="6" t="s">
        <v>838</v>
      </c>
      <c r="C811" s="95">
        <v>1989</v>
      </c>
      <c r="D811" s="95" t="s">
        <v>75</v>
      </c>
      <c r="E811" s="95">
        <v>2</v>
      </c>
      <c r="F811" s="95">
        <v>2</v>
      </c>
      <c r="G811" s="8">
        <v>807.3</v>
      </c>
      <c r="H811" s="8">
        <v>741.3</v>
      </c>
      <c r="I811" s="8">
        <v>741.3</v>
      </c>
      <c r="J811" s="133">
        <v>17</v>
      </c>
      <c r="K811" s="1">
        <v>237699</v>
      </c>
      <c r="L811" s="3">
        <v>0</v>
      </c>
      <c r="M811" s="3">
        <v>0</v>
      </c>
      <c r="N811" s="8">
        <v>237699</v>
      </c>
      <c r="O811" s="3">
        <v>0</v>
      </c>
      <c r="P811" s="3">
        <v>0</v>
      </c>
      <c r="Q811" s="3">
        <v>0</v>
      </c>
      <c r="R811" s="133">
        <v>2026</v>
      </c>
      <c r="S811" s="133">
        <v>2026</v>
      </c>
    </row>
    <row r="812" spans="1:21" ht="19.5" customHeight="1">
      <c r="A812" s="76">
        <v>350</v>
      </c>
      <c r="B812" s="6" t="s">
        <v>702</v>
      </c>
      <c r="C812" s="95">
        <v>1989</v>
      </c>
      <c r="D812" s="95" t="s">
        <v>75</v>
      </c>
      <c r="E812" s="95">
        <v>5</v>
      </c>
      <c r="F812" s="95">
        <v>6</v>
      </c>
      <c r="G812" s="8">
        <v>4131.5</v>
      </c>
      <c r="H812" s="8">
        <v>3994.5</v>
      </c>
      <c r="I812" s="8">
        <v>3994.5</v>
      </c>
      <c r="J812" s="133">
        <v>178</v>
      </c>
      <c r="K812" s="1">
        <v>268380</v>
      </c>
      <c r="L812" s="3">
        <v>0</v>
      </c>
      <c r="M812" s="3">
        <v>0</v>
      </c>
      <c r="N812" s="8">
        <v>268380</v>
      </c>
      <c r="O812" s="3">
        <v>0</v>
      </c>
      <c r="P812" s="3">
        <v>0</v>
      </c>
      <c r="Q812" s="3">
        <v>0</v>
      </c>
      <c r="R812" s="133">
        <v>2026</v>
      </c>
      <c r="S812" s="133">
        <v>2026</v>
      </c>
    </row>
    <row r="813" spans="1:21" ht="19.5" customHeight="1">
      <c r="A813" s="76">
        <v>351</v>
      </c>
      <c r="B813" s="6" t="s">
        <v>839</v>
      </c>
      <c r="C813" s="76">
        <v>1978</v>
      </c>
      <c r="D813" s="95" t="s">
        <v>118</v>
      </c>
      <c r="E813" s="95">
        <v>2</v>
      </c>
      <c r="F813" s="95">
        <v>2</v>
      </c>
      <c r="G813" s="8">
        <v>818.1</v>
      </c>
      <c r="H813" s="8">
        <v>754.1</v>
      </c>
      <c r="I813" s="8">
        <v>754.1</v>
      </c>
      <c r="J813" s="133">
        <v>30</v>
      </c>
      <c r="K813" s="1">
        <v>152210</v>
      </c>
      <c r="L813" s="3">
        <v>0</v>
      </c>
      <c r="M813" s="3">
        <v>0</v>
      </c>
      <c r="N813" s="8">
        <v>152210</v>
      </c>
      <c r="O813" s="3">
        <v>0</v>
      </c>
      <c r="P813" s="3">
        <v>0</v>
      </c>
      <c r="Q813" s="3">
        <v>0</v>
      </c>
      <c r="R813" s="133">
        <v>2026</v>
      </c>
      <c r="S813" s="133">
        <v>2026</v>
      </c>
    </row>
    <row r="814" spans="1:21" ht="19.5" customHeight="1">
      <c r="A814" s="76">
        <v>352</v>
      </c>
      <c r="B814" s="6" t="s">
        <v>840</v>
      </c>
      <c r="C814" s="95">
        <v>1984</v>
      </c>
      <c r="D814" s="95" t="s">
        <v>118</v>
      </c>
      <c r="E814" s="95">
        <v>2</v>
      </c>
      <c r="F814" s="95">
        <v>2</v>
      </c>
      <c r="G814" s="8">
        <v>759.6</v>
      </c>
      <c r="H814" s="8">
        <v>742</v>
      </c>
      <c r="I814" s="8">
        <v>742</v>
      </c>
      <c r="J814" s="133">
        <v>29</v>
      </c>
      <c r="K814" s="1">
        <v>174560</v>
      </c>
      <c r="L814" s="3">
        <v>0</v>
      </c>
      <c r="M814" s="3">
        <v>0</v>
      </c>
      <c r="N814" s="8">
        <v>174560</v>
      </c>
      <c r="O814" s="3">
        <v>0</v>
      </c>
      <c r="P814" s="3">
        <v>0</v>
      </c>
      <c r="Q814" s="3">
        <v>0</v>
      </c>
      <c r="R814" s="133">
        <v>2026</v>
      </c>
      <c r="S814" s="133">
        <v>2026</v>
      </c>
    </row>
    <row r="815" spans="1:21" s="100" customFormat="1" ht="18.75" customHeight="1">
      <c r="A815" s="96"/>
      <c r="B815" s="97"/>
      <c r="C815" s="98"/>
      <c r="D815" s="96"/>
      <c r="E815" s="96"/>
      <c r="F815" s="96"/>
      <c r="G815" s="99"/>
      <c r="H815" s="99"/>
      <c r="I815" s="99"/>
      <c r="J815" s="99"/>
      <c r="K815" s="99"/>
      <c r="L815" s="99"/>
      <c r="M815" s="99"/>
      <c r="N815" s="99"/>
      <c r="O815" s="99"/>
      <c r="P815" s="99"/>
      <c r="Q815" s="99"/>
      <c r="R815" s="99"/>
      <c r="S815" s="99"/>
      <c r="T815" s="96"/>
      <c r="U815" s="96"/>
    </row>
    <row r="816" spans="1:21" s="100" customFormat="1" ht="54.75" customHeight="1">
      <c r="A816" s="166" t="s">
        <v>625</v>
      </c>
      <c r="B816" s="166"/>
      <c r="C816" s="166"/>
      <c r="D816" s="166"/>
      <c r="E816" s="166"/>
      <c r="F816" s="166"/>
      <c r="G816" s="166"/>
      <c r="H816" s="166"/>
      <c r="I816" s="166"/>
      <c r="J816" s="166"/>
      <c r="K816" s="166"/>
      <c r="L816" s="166"/>
      <c r="M816" s="166"/>
      <c r="N816" s="166"/>
      <c r="O816" s="166"/>
      <c r="P816" s="166"/>
      <c r="Q816" s="166"/>
      <c r="R816" s="166"/>
      <c r="S816" s="166"/>
      <c r="T816" s="96"/>
      <c r="U816" s="96"/>
    </row>
    <row r="817" spans="1:21" s="100" customFormat="1" ht="63.75" customHeight="1">
      <c r="A817" s="166" t="s">
        <v>651</v>
      </c>
      <c r="B817" s="166"/>
      <c r="C817" s="166"/>
      <c r="D817" s="166"/>
      <c r="E817" s="166"/>
      <c r="F817" s="166"/>
      <c r="G817" s="166"/>
      <c r="H817" s="166"/>
      <c r="I817" s="166"/>
      <c r="J817" s="166"/>
      <c r="K817" s="166"/>
      <c r="L817" s="166"/>
      <c r="M817" s="166"/>
      <c r="N817" s="166"/>
      <c r="O817" s="166"/>
      <c r="P817" s="166"/>
      <c r="Q817" s="166"/>
      <c r="R817" s="166"/>
      <c r="S817" s="166"/>
      <c r="T817" s="96"/>
      <c r="U817" s="96"/>
    </row>
    <row r="818" spans="1:21" s="100" customFormat="1" ht="65.25" customHeight="1">
      <c r="A818" s="166" t="s">
        <v>652</v>
      </c>
      <c r="B818" s="166"/>
      <c r="C818" s="166"/>
      <c r="D818" s="166"/>
      <c r="E818" s="166"/>
      <c r="F818" s="166"/>
      <c r="G818" s="166"/>
      <c r="H818" s="166"/>
      <c r="I818" s="166"/>
      <c r="J818" s="166"/>
      <c r="K818" s="166"/>
      <c r="L818" s="166"/>
      <c r="M818" s="166"/>
      <c r="N818" s="166"/>
      <c r="O818" s="166"/>
      <c r="P818" s="166"/>
      <c r="Q818" s="166"/>
      <c r="R818" s="166"/>
      <c r="S818" s="166"/>
      <c r="T818" s="96"/>
      <c r="U818" s="96"/>
    </row>
    <row r="819" spans="1:21" s="100" customFormat="1">
      <c r="A819" s="96"/>
      <c r="B819" s="97"/>
      <c r="C819" s="98"/>
      <c r="D819" s="96"/>
      <c r="E819" s="96"/>
      <c r="F819" s="96"/>
      <c r="G819" s="99"/>
      <c r="H819" s="99"/>
      <c r="I819" s="99"/>
      <c r="J819" s="99"/>
      <c r="K819" s="99"/>
      <c r="L819" s="99"/>
      <c r="M819" s="99"/>
      <c r="N819" s="99"/>
      <c r="O819" s="99"/>
      <c r="P819" s="99"/>
      <c r="Q819" s="99"/>
      <c r="R819" s="99"/>
      <c r="S819" s="99"/>
      <c r="T819" s="96"/>
      <c r="U819" s="96"/>
    </row>
    <row r="820" spans="1:21" s="100" customFormat="1">
      <c r="A820" s="96"/>
      <c r="B820" s="97"/>
      <c r="C820" s="98"/>
      <c r="D820" s="96"/>
      <c r="E820" s="96"/>
      <c r="F820" s="96"/>
      <c r="G820" s="99"/>
      <c r="H820" s="99"/>
      <c r="I820" s="99"/>
      <c r="J820" s="99"/>
      <c r="K820" s="99"/>
      <c r="L820" s="99"/>
      <c r="M820" s="99"/>
      <c r="N820" s="99"/>
      <c r="O820" s="99"/>
      <c r="P820" s="99"/>
      <c r="Q820" s="99"/>
      <c r="R820" s="99"/>
      <c r="S820" s="99"/>
      <c r="T820" s="96"/>
      <c r="U820" s="96"/>
    </row>
    <row r="821" spans="1:21" s="100" customFormat="1">
      <c r="A821" s="96"/>
      <c r="B821" s="97"/>
      <c r="C821" s="98"/>
      <c r="D821" s="96"/>
      <c r="E821" s="96"/>
      <c r="F821" s="96"/>
      <c r="G821" s="99"/>
      <c r="H821" s="99"/>
      <c r="I821" s="99"/>
      <c r="J821" s="99"/>
      <c r="K821" s="99"/>
      <c r="L821" s="99"/>
      <c r="M821" s="99"/>
      <c r="N821" s="99"/>
      <c r="O821" s="99"/>
      <c r="P821" s="99"/>
      <c r="Q821" s="99"/>
      <c r="R821" s="99"/>
      <c r="S821" s="99"/>
      <c r="T821" s="96"/>
      <c r="U821" s="96"/>
    </row>
    <row r="822" spans="1:21" s="100" customFormat="1">
      <c r="A822" s="96"/>
      <c r="B822" s="97"/>
      <c r="C822" s="98"/>
      <c r="D822" s="96"/>
      <c r="E822" s="96"/>
      <c r="F822" s="96"/>
      <c r="G822" s="99"/>
      <c r="H822" s="99"/>
      <c r="I822" s="99"/>
      <c r="J822" s="99"/>
      <c r="K822" s="99"/>
      <c r="L822" s="99"/>
      <c r="M822" s="99"/>
      <c r="N822" s="99"/>
      <c r="O822" s="99"/>
      <c r="P822" s="99"/>
      <c r="Q822" s="99"/>
      <c r="R822" s="99"/>
      <c r="S822" s="99"/>
      <c r="T822" s="96"/>
      <c r="U822" s="96"/>
    </row>
    <row r="823" spans="1:21">
      <c r="B823" s="97"/>
      <c r="C823" s="98"/>
      <c r="D823" s="96"/>
      <c r="E823" s="96"/>
      <c r="F823" s="96"/>
      <c r="G823" s="99"/>
      <c r="H823" s="99"/>
      <c r="I823" s="99"/>
      <c r="J823" s="99"/>
      <c r="K823" s="99"/>
      <c r="L823" s="99"/>
      <c r="M823" s="99"/>
      <c r="N823" s="99"/>
      <c r="O823" s="99"/>
      <c r="P823" s="99"/>
      <c r="Q823" s="99"/>
      <c r="R823" s="99"/>
    </row>
    <row r="824" spans="1:21">
      <c r="B824" s="97"/>
      <c r="C824" s="98"/>
      <c r="D824" s="96"/>
      <c r="E824" s="96"/>
      <c r="F824" s="96"/>
      <c r="G824" s="99"/>
      <c r="H824" s="99"/>
      <c r="I824" s="99"/>
      <c r="J824" s="99"/>
      <c r="K824" s="99"/>
      <c r="L824" s="99"/>
      <c r="M824" s="99"/>
      <c r="N824" s="99"/>
      <c r="O824" s="99"/>
      <c r="P824" s="99"/>
      <c r="Q824" s="99"/>
      <c r="R824" s="99"/>
    </row>
    <row r="825" spans="1:21">
      <c r="B825" s="97"/>
      <c r="C825" s="98"/>
      <c r="D825" s="96"/>
      <c r="E825" s="96"/>
      <c r="F825" s="96"/>
      <c r="G825" s="99"/>
      <c r="H825" s="99"/>
      <c r="I825" s="99"/>
      <c r="J825" s="99"/>
      <c r="K825" s="99"/>
      <c r="L825" s="99"/>
      <c r="M825" s="99"/>
      <c r="N825" s="99"/>
      <c r="O825" s="99"/>
      <c r="P825" s="99"/>
      <c r="Q825" s="99"/>
      <c r="R825" s="99"/>
    </row>
    <row r="826" spans="1:21">
      <c r="B826" s="97"/>
      <c r="C826" s="98"/>
      <c r="D826" s="96"/>
      <c r="E826" s="96"/>
      <c r="F826" s="96"/>
      <c r="G826" s="99"/>
      <c r="H826" s="99"/>
      <c r="I826" s="99"/>
      <c r="J826" s="99"/>
      <c r="K826" s="99"/>
      <c r="L826" s="99"/>
      <c r="M826" s="99"/>
      <c r="N826" s="99"/>
      <c r="O826" s="99"/>
      <c r="P826" s="99"/>
      <c r="Q826" s="99"/>
      <c r="R826" s="99"/>
    </row>
    <row r="827" spans="1:21">
      <c r="B827" s="97"/>
      <c r="C827" s="98"/>
      <c r="D827" s="96"/>
      <c r="E827" s="96"/>
      <c r="F827" s="96"/>
      <c r="G827" s="99"/>
      <c r="H827" s="99"/>
      <c r="I827" s="99"/>
      <c r="J827" s="99"/>
      <c r="K827" s="99"/>
      <c r="L827" s="99"/>
      <c r="M827" s="99"/>
      <c r="N827" s="99"/>
      <c r="O827" s="99"/>
      <c r="P827" s="99"/>
      <c r="Q827" s="99"/>
      <c r="R827" s="99"/>
    </row>
    <row r="828" spans="1:21">
      <c r="B828" s="97"/>
      <c r="C828" s="98"/>
      <c r="D828" s="96"/>
      <c r="E828" s="96"/>
      <c r="F828" s="96"/>
      <c r="G828" s="99"/>
      <c r="H828" s="99"/>
      <c r="I828" s="99"/>
      <c r="J828" s="99"/>
      <c r="K828" s="99"/>
      <c r="L828" s="99"/>
      <c r="M828" s="99"/>
      <c r="N828" s="99"/>
      <c r="O828" s="99"/>
      <c r="P828" s="99"/>
      <c r="Q828" s="99"/>
      <c r="R828" s="99"/>
    </row>
    <row r="829" spans="1:21">
      <c r="B829" s="97"/>
      <c r="C829" s="98"/>
      <c r="D829" s="96"/>
      <c r="E829" s="96"/>
      <c r="F829" s="96"/>
      <c r="G829" s="99"/>
      <c r="H829" s="99"/>
      <c r="I829" s="99"/>
      <c r="J829" s="99"/>
      <c r="K829" s="99"/>
      <c r="L829" s="99"/>
      <c r="M829" s="99"/>
      <c r="N829" s="99"/>
      <c r="O829" s="99"/>
      <c r="P829" s="99"/>
      <c r="Q829" s="99"/>
      <c r="R829" s="99"/>
    </row>
    <row r="830" spans="1:21">
      <c r="B830" s="97"/>
      <c r="C830" s="98"/>
      <c r="D830" s="96"/>
      <c r="E830" s="96"/>
      <c r="F830" s="96"/>
      <c r="G830" s="99"/>
      <c r="H830" s="99"/>
      <c r="I830" s="99"/>
      <c r="J830" s="99"/>
      <c r="K830" s="99"/>
      <c r="L830" s="99"/>
      <c r="M830" s="99"/>
      <c r="N830" s="99"/>
      <c r="O830" s="99"/>
      <c r="P830" s="99"/>
      <c r="Q830" s="99"/>
      <c r="R830" s="99"/>
    </row>
    <row r="831" spans="1:21">
      <c r="B831" s="97"/>
      <c r="C831" s="98"/>
      <c r="D831" s="96"/>
      <c r="E831" s="96"/>
      <c r="F831" s="96"/>
      <c r="G831" s="99"/>
      <c r="H831" s="99"/>
      <c r="I831" s="99"/>
      <c r="J831" s="99"/>
      <c r="K831" s="99"/>
      <c r="L831" s="99"/>
      <c r="M831" s="99"/>
      <c r="N831" s="99"/>
      <c r="O831" s="99"/>
      <c r="P831" s="99"/>
      <c r="Q831" s="99"/>
      <c r="R831" s="99"/>
    </row>
    <row r="832" spans="1:21">
      <c r="B832" s="97"/>
      <c r="C832" s="98"/>
      <c r="D832" s="96"/>
      <c r="E832" s="96"/>
      <c r="F832" s="96"/>
      <c r="G832" s="99"/>
      <c r="H832" s="99"/>
      <c r="I832" s="99"/>
      <c r="J832" s="99"/>
      <c r="K832" s="99"/>
      <c r="L832" s="99"/>
      <c r="M832" s="99"/>
      <c r="N832" s="99"/>
      <c r="O832" s="99"/>
      <c r="P832" s="99"/>
      <c r="Q832" s="99"/>
      <c r="R832" s="99"/>
    </row>
    <row r="833" spans="1:18">
      <c r="B833" s="97"/>
      <c r="C833" s="98"/>
      <c r="D833" s="96"/>
      <c r="E833" s="96"/>
      <c r="F833" s="96"/>
      <c r="G833" s="99"/>
      <c r="H833" s="99"/>
      <c r="I833" s="99"/>
      <c r="J833" s="99"/>
      <c r="K833" s="99"/>
      <c r="L833" s="99"/>
      <c r="M833" s="99"/>
      <c r="N833" s="99"/>
      <c r="O833" s="99"/>
      <c r="P833" s="99"/>
      <c r="Q833" s="99"/>
      <c r="R833" s="99"/>
    </row>
    <row r="834" spans="1:18" ht="12.75" customHeight="1">
      <c r="B834" s="97"/>
      <c r="C834" s="98"/>
      <c r="D834" s="96"/>
      <c r="E834" s="96"/>
      <c r="F834" s="96"/>
      <c r="G834" s="99"/>
      <c r="H834" s="99"/>
      <c r="I834" s="99"/>
      <c r="J834" s="99"/>
      <c r="K834" s="99"/>
      <c r="L834" s="99"/>
      <c r="M834" s="99"/>
      <c r="N834" s="99"/>
      <c r="O834" s="99"/>
      <c r="P834" s="99"/>
      <c r="Q834" s="99"/>
      <c r="R834" s="99"/>
    </row>
    <row r="835" spans="1:18">
      <c r="B835" s="97"/>
      <c r="C835" s="98"/>
      <c r="D835" s="96"/>
      <c r="E835" s="96"/>
      <c r="F835" s="96"/>
      <c r="G835" s="99"/>
      <c r="H835" s="99"/>
      <c r="I835" s="99"/>
      <c r="J835" s="99"/>
      <c r="K835" s="99"/>
      <c r="L835" s="99"/>
      <c r="M835" s="99"/>
      <c r="N835" s="99"/>
      <c r="O835" s="99"/>
      <c r="P835" s="99"/>
      <c r="Q835" s="99"/>
      <c r="R835" s="99"/>
    </row>
    <row r="836" spans="1:18">
      <c r="A836" s="74"/>
      <c r="B836" s="97"/>
      <c r="C836" s="98"/>
    </row>
    <row r="837" spans="1:18">
      <c r="A837" s="74"/>
      <c r="B837" s="97"/>
      <c r="C837" s="98"/>
    </row>
    <row r="838" spans="1:18">
      <c r="A838" s="74"/>
      <c r="B838" s="97"/>
      <c r="C838" s="98"/>
    </row>
    <row r="839" spans="1:18">
      <c r="A839" s="74"/>
      <c r="B839" s="97"/>
      <c r="C839" s="98"/>
    </row>
    <row r="840" spans="1:18">
      <c r="A840" s="74"/>
      <c r="B840" s="97"/>
      <c r="C840" s="98"/>
    </row>
    <row r="841" spans="1:18">
      <c r="A841" s="74"/>
      <c r="B841" s="97"/>
      <c r="C841" s="98"/>
    </row>
    <row r="842" spans="1:18">
      <c r="A842" s="74"/>
      <c r="B842" s="97"/>
      <c r="C842" s="98"/>
    </row>
    <row r="843" spans="1:18">
      <c r="A843" s="74"/>
      <c r="B843" s="97"/>
      <c r="C843" s="98"/>
    </row>
    <row r="844" spans="1:18">
      <c r="A844" s="74"/>
      <c r="B844" s="97"/>
      <c r="C844" s="98"/>
    </row>
    <row r="845" spans="1:18">
      <c r="A845" s="74"/>
      <c r="B845" s="97"/>
      <c r="C845" s="98"/>
    </row>
    <row r="846" spans="1:18" ht="15" customHeight="1">
      <c r="A846" s="74"/>
      <c r="B846" s="97"/>
      <c r="C846" s="98"/>
    </row>
    <row r="847" spans="1:18">
      <c r="A847" s="74"/>
      <c r="B847" s="97"/>
      <c r="C847" s="98"/>
    </row>
    <row r="848" spans="1:18">
      <c r="A848" s="74"/>
      <c r="B848" s="97"/>
      <c r="C848" s="98"/>
    </row>
    <row r="849" spans="1:3">
      <c r="A849" s="74"/>
      <c r="B849" s="97"/>
      <c r="C849" s="98"/>
    </row>
    <row r="850" spans="1:3">
      <c r="A850" s="74"/>
      <c r="B850" s="97"/>
      <c r="C850" s="98"/>
    </row>
    <row r="851" spans="1:3">
      <c r="A851" s="74"/>
      <c r="B851" s="97"/>
      <c r="C851" s="98"/>
    </row>
    <row r="852" spans="1:3">
      <c r="A852" s="74"/>
      <c r="B852" s="97"/>
      <c r="C852" s="98"/>
    </row>
    <row r="853" spans="1:3">
      <c r="A853" s="74"/>
      <c r="B853" s="97"/>
      <c r="C853" s="98"/>
    </row>
    <row r="854" spans="1:3">
      <c r="A854" s="74"/>
      <c r="B854" s="97"/>
      <c r="C854" s="98"/>
    </row>
    <row r="855" spans="1:3">
      <c r="A855" s="74"/>
      <c r="B855" s="97"/>
      <c r="C855" s="98"/>
    </row>
    <row r="856" spans="1:3">
      <c r="A856" s="74"/>
      <c r="B856" s="97"/>
      <c r="C856" s="98"/>
    </row>
    <row r="857" spans="1:3">
      <c r="A857" s="74"/>
      <c r="B857" s="97"/>
      <c r="C857" s="98"/>
    </row>
    <row r="858" spans="1:3">
      <c r="A858" s="74"/>
      <c r="B858" s="97"/>
      <c r="C858" s="98"/>
    </row>
    <row r="859" spans="1:3">
      <c r="A859" s="74"/>
      <c r="B859" s="97"/>
      <c r="C859" s="98"/>
    </row>
    <row r="860" spans="1:3">
      <c r="A860" s="74"/>
      <c r="B860" s="97"/>
      <c r="C860" s="98"/>
    </row>
    <row r="861" spans="1:3">
      <c r="A861" s="74"/>
      <c r="B861" s="97"/>
      <c r="C861" s="98"/>
    </row>
    <row r="862" spans="1:3">
      <c r="A862" s="74"/>
      <c r="B862" s="97"/>
      <c r="C862" s="98"/>
    </row>
    <row r="863" spans="1:3">
      <c r="A863" s="74"/>
      <c r="B863" s="97"/>
      <c r="C863" s="98"/>
    </row>
    <row r="864" spans="1:3">
      <c r="A864" s="74"/>
      <c r="B864" s="97"/>
      <c r="C864" s="98"/>
    </row>
    <row r="865" spans="1:3">
      <c r="A865" s="74"/>
      <c r="B865" s="97"/>
      <c r="C865" s="98"/>
    </row>
    <row r="866" spans="1:3">
      <c r="A866" s="74"/>
      <c r="B866" s="97"/>
      <c r="C866" s="98"/>
    </row>
    <row r="867" spans="1:3">
      <c r="A867" s="74"/>
      <c r="B867" s="97"/>
      <c r="C867" s="98"/>
    </row>
    <row r="868" spans="1:3">
      <c r="A868" s="74"/>
      <c r="B868" s="97"/>
      <c r="C868" s="98"/>
    </row>
    <row r="869" spans="1:3">
      <c r="A869" s="74"/>
      <c r="B869" s="97"/>
      <c r="C869" s="98"/>
    </row>
    <row r="870" spans="1:3">
      <c r="A870" s="74"/>
      <c r="B870" s="97"/>
      <c r="C870" s="98"/>
    </row>
    <row r="871" spans="1:3">
      <c r="A871" s="74"/>
      <c r="B871" s="97"/>
      <c r="C871" s="98"/>
    </row>
    <row r="872" spans="1:3">
      <c r="A872" s="74"/>
      <c r="B872" s="97"/>
      <c r="C872" s="98"/>
    </row>
    <row r="873" spans="1:3">
      <c r="A873" s="74"/>
      <c r="B873" s="97"/>
      <c r="C873" s="98"/>
    </row>
    <row r="874" spans="1:3">
      <c r="A874" s="74"/>
      <c r="B874" s="97"/>
      <c r="C874" s="98"/>
    </row>
    <row r="875" spans="1:3">
      <c r="A875" s="74"/>
      <c r="B875" s="97"/>
      <c r="C875" s="98"/>
    </row>
    <row r="876" spans="1:3">
      <c r="A876" s="74"/>
      <c r="B876" s="97"/>
      <c r="C876" s="98"/>
    </row>
    <row r="877" spans="1:3">
      <c r="A877" s="74"/>
      <c r="B877" s="97"/>
      <c r="C877" s="98"/>
    </row>
    <row r="878" spans="1:3">
      <c r="A878" s="74"/>
      <c r="B878" s="97"/>
      <c r="C878" s="98"/>
    </row>
    <row r="879" spans="1:3">
      <c r="A879" s="74"/>
      <c r="B879" s="97"/>
      <c r="C879" s="98"/>
    </row>
    <row r="880" spans="1:3">
      <c r="A880" s="74"/>
      <c r="B880" s="97"/>
      <c r="C880" s="98"/>
    </row>
    <row r="881" spans="1:3" ht="15" customHeight="1">
      <c r="A881" s="74"/>
      <c r="B881" s="97"/>
      <c r="C881" s="98"/>
    </row>
    <row r="882" spans="1:3">
      <c r="A882" s="74"/>
      <c r="B882" s="97"/>
      <c r="C882" s="98"/>
    </row>
    <row r="883" spans="1:3">
      <c r="A883" s="74"/>
      <c r="B883" s="97"/>
      <c r="C883" s="98"/>
    </row>
    <row r="884" spans="1:3">
      <c r="A884" s="74"/>
      <c r="B884" s="97"/>
      <c r="C884" s="98"/>
    </row>
    <row r="885" spans="1:3">
      <c r="A885" s="74"/>
      <c r="B885" s="97"/>
      <c r="C885" s="98"/>
    </row>
    <row r="886" spans="1:3">
      <c r="A886" s="74"/>
      <c r="B886" s="97"/>
      <c r="C886" s="98"/>
    </row>
    <row r="887" spans="1:3">
      <c r="A887" s="74"/>
      <c r="B887" s="97"/>
      <c r="C887" s="98"/>
    </row>
    <row r="888" spans="1:3">
      <c r="A888" s="74"/>
      <c r="B888" s="97"/>
      <c r="C888" s="98"/>
    </row>
    <row r="889" spans="1:3">
      <c r="A889" s="74"/>
      <c r="B889" s="97"/>
      <c r="C889" s="98"/>
    </row>
    <row r="890" spans="1:3">
      <c r="A890" s="74"/>
      <c r="B890" s="97"/>
      <c r="C890" s="98"/>
    </row>
    <row r="891" spans="1:3">
      <c r="A891" s="74"/>
      <c r="B891" s="97"/>
      <c r="C891" s="98"/>
    </row>
    <row r="892" spans="1:3">
      <c r="A892" s="74"/>
      <c r="B892" s="97"/>
      <c r="C892" s="98"/>
    </row>
    <row r="893" spans="1:3">
      <c r="A893" s="74"/>
      <c r="B893" s="97"/>
      <c r="C893" s="98"/>
    </row>
    <row r="894" spans="1:3">
      <c r="A894" s="74"/>
      <c r="B894" s="97"/>
      <c r="C894" s="98"/>
    </row>
    <row r="895" spans="1:3">
      <c r="A895" s="74"/>
      <c r="B895" s="97"/>
      <c r="C895" s="98"/>
    </row>
    <row r="896" spans="1:3">
      <c r="A896" s="74"/>
      <c r="B896" s="97"/>
      <c r="C896" s="98"/>
    </row>
    <row r="897" spans="1:3">
      <c r="A897" s="74"/>
      <c r="B897" s="97"/>
      <c r="C897" s="98"/>
    </row>
    <row r="898" spans="1:3">
      <c r="A898" s="74"/>
      <c r="B898" s="97"/>
      <c r="C898" s="98"/>
    </row>
    <row r="899" spans="1:3">
      <c r="A899" s="74"/>
      <c r="B899" s="97"/>
      <c r="C899" s="98"/>
    </row>
    <row r="900" spans="1:3">
      <c r="A900" s="74"/>
      <c r="B900" s="97"/>
      <c r="C900" s="98"/>
    </row>
    <row r="901" spans="1:3">
      <c r="A901" s="74"/>
      <c r="B901" s="97"/>
      <c r="C901" s="98"/>
    </row>
    <row r="902" spans="1:3">
      <c r="A902" s="74"/>
      <c r="B902" s="97"/>
      <c r="C902" s="98"/>
    </row>
    <row r="903" spans="1:3">
      <c r="A903" s="74"/>
      <c r="B903" s="97"/>
      <c r="C903" s="98"/>
    </row>
    <row r="904" spans="1:3">
      <c r="A904" s="74"/>
      <c r="B904" s="97"/>
      <c r="C904" s="98"/>
    </row>
    <row r="905" spans="1:3">
      <c r="A905" s="74"/>
      <c r="B905" s="97"/>
      <c r="C905" s="98"/>
    </row>
    <row r="906" spans="1:3">
      <c r="A906" s="74"/>
      <c r="B906" s="97"/>
      <c r="C906" s="98"/>
    </row>
    <row r="907" spans="1:3">
      <c r="A907" s="74"/>
      <c r="B907" s="97"/>
      <c r="C907" s="98"/>
    </row>
    <row r="908" spans="1:3">
      <c r="A908" s="74"/>
      <c r="B908" s="97"/>
      <c r="C908" s="98"/>
    </row>
    <row r="909" spans="1:3">
      <c r="A909" s="74"/>
      <c r="B909" s="97"/>
      <c r="C909" s="98"/>
    </row>
    <row r="910" spans="1:3">
      <c r="A910" s="74"/>
      <c r="B910" s="97"/>
      <c r="C910" s="98"/>
    </row>
    <row r="911" spans="1:3">
      <c r="A911" s="74"/>
      <c r="B911" s="97"/>
      <c r="C911" s="98"/>
    </row>
    <row r="912" spans="1:3">
      <c r="A912" s="74"/>
      <c r="B912" s="97"/>
      <c r="C912" s="98"/>
    </row>
    <row r="913" spans="1:12">
      <c r="A913" s="74"/>
      <c r="B913" s="97"/>
      <c r="C913" s="98"/>
    </row>
    <row r="914" spans="1:12">
      <c r="A914" s="74"/>
      <c r="B914" s="97"/>
      <c r="C914" s="98"/>
    </row>
    <row r="915" spans="1:12">
      <c r="A915" s="74"/>
      <c r="B915" s="97"/>
      <c r="C915" s="98"/>
    </row>
    <row r="916" spans="1:12">
      <c r="A916" s="74"/>
      <c r="B916" s="75"/>
    </row>
    <row r="921" spans="1:12">
      <c r="K921" s="102"/>
      <c r="L921" s="102"/>
    </row>
    <row r="923" spans="1:12">
      <c r="K923" s="102"/>
      <c r="L923" s="102"/>
    </row>
  </sheetData>
  <mergeCells count="180">
    <mergeCell ref="A818:S818"/>
    <mergeCell ref="A817:S817"/>
    <mergeCell ref="A195:F195"/>
    <mergeCell ref="A311:F311"/>
    <mergeCell ref="A424:F424"/>
    <mergeCell ref="A127:F127"/>
    <mergeCell ref="A805:F805"/>
    <mergeCell ref="A807:F807"/>
    <mergeCell ref="A171:F171"/>
    <mergeCell ref="A173:F173"/>
    <mergeCell ref="A175:F175"/>
    <mergeCell ref="A302:F302"/>
    <mergeCell ref="A304:F304"/>
    <mergeCell ref="A306:F306"/>
    <mergeCell ref="A644:F644"/>
    <mergeCell ref="A647:F647"/>
    <mergeCell ref="A231:F231"/>
    <mergeCell ref="A724:F724"/>
    <mergeCell ref="A345:F345"/>
    <mergeCell ref="A377:F377"/>
    <mergeCell ref="A307:S307"/>
    <mergeCell ref="A416:S416"/>
    <mergeCell ref="A418:S418"/>
    <mergeCell ref="A786:F786"/>
    <mergeCell ref="A220:F220"/>
    <mergeCell ref="A333:F333"/>
    <mergeCell ref="A239:F239"/>
    <mergeCell ref="A349:F349"/>
    <mergeCell ref="A259:F259"/>
    <mergeCell ref="A360:F360"/>
    <mergeCell ref="A325:F325"/>
    <mergeCell ref="A227:F227"/>
    <mergeCell ref="A347:F347"/>
    <mergeCell ref="A237:F237"/>
    <mergeCell ref="A310:F310"/>
    <mergeCell ref="A308:F308"/>
    <mergeCell ref="A297:F297"/>
    <mergeCell ref="A271:F271"/>
    <mergeCell ref="A295:F295"/>
    <mergeCell ref="A60:F60"/>
    <mergeCell ref="A134:F134"/>
    <mergeCell ref="A269:F269"/>
    <mergeCell ref="A389:F389"/>
    <mergeCell ref="A168:F168"/>
    <mergeCell ref="A301:S301"/>
    <mergeCell ref="A125:F125"/>
    <mergeCell ref="A244:F244"/>
    <mergeCell ref="A174:S174"/>
    <mergeCell ref="A191:S191"/>
    <mergeCell ref="A148:F148"/>
    <mergeCell ref="A286:F286"/>
    <mergeCell ref="A70:F70"/>
    <mergeCell ref="A211:F211"/>
    <mergeCell ref="A329:F329"/>
    <mergeCell ref="A261:F261"/>
    <mergeCell ref="A284:F284"/>
    <mergeCell ref="A156:F156"/>
    <mergeCell ref="A339:F339"/>
    <mergeCell ref="A354:F354"/>
    <mergeCell ref="A207:F207"/>
    <mergeCell ref="A327:F327"/>
    <mergeCell ref="A356:F356"/>
    <mergeCell ref="A218:F218"/>
    <mergeCell ref="A31:F31"/>
    <mergeCell ref="A96:F96"/>
    <mergeCell ref="A90:F90"/>
    <mergeCell ref="A34:F34"/>
    <mergeCell ref="A86:F86"/>
    <mergeCell ref="A72:F72"/>
    <mergeCell ref="J8:J10"/>
    <mergeCell ref="A17:F17"/>
    <mergeCell ref="A209:F209"/>
    <mergeCell ref="A193:S193"/>
    <mergeCell ref="A192:F192"/>
    <mergeCell ref="A194:F194"/>
    <mergeCell ref="A14:F14"/>
    <mergeCell ref="A16:F16"/>
    <mergeCell ref="A146:F146"/>
    <mergeCell ref="K8:Q8"/>
    <mergeCell ref="A36:F36"/>
    <mergeCell ref="A48:F48"/>
    <mergeCell ref="A98:F98"/>
    <mergeCell ref="A153:F153"/>
    <mergeCell ref="A39:F39"/>
    <mergeCell ref="A76:F76"/>
    <mergeCell ref="A58:F58"/>
    <mergeCell ref="A160:F160"/>
    <mergeCell ref="A4:R4"/>
    <mergeCell ref="N1:R1"/>
    <mergeCell ref="A3:R3"/>
    <mergeCell ref="N2:R2"/>
    <mergeCell ref="A15:R15"/>
    <mergeCell ref="H9:H10"/>
    <mergeCell ref="I9:I10"/>
    <mergeCell ref="C8:C11"/>
    <mergeCell ref="A5:R5"/>
    <mergeCell ref="A6:R6"/>
    <mergeCell ref="A7:R7"/>
    <mergeCell ref="A8:A11"/>
    <mergeCell ref="B8:B11"/>
    <mergeCell ref="D8:D11"/>
    <mergeCell ref="E8:E11"/>
    <mergeCell ref="F8:F11"/>
    <mergeCell ref="G8:G10"/>
    <mergeCell ref="H8:I8"/>
    <mergeCell ref="K9:K10"/>
    <mergeCell ref="R8:S9"/>
    <mergeCell ref="R10:R11"/>
    <mergeCell ref="L9:Q9"/>
    <mergeCell ref="A816:S816"/>
    <mergeCell ref="S10:S11"/>
    <mergeCell ref="A13:S13"/>
    <mergeCell ref="A172:S172"/>
    <mergeCell ref="A170:S170"/>
    <mergeCell ref="A303:S303"/>
    <mergeCell ref="A94:F94"/>
    <mergeCell ref="A51:F51"/>
    <mergeCell ref="A351:F351"/>
    <mergeCell ref="A118:F118"/>
    <mergeCell ref="A382:F382"/>
    <mergeCell ref="A309:S309"/>
    <mergeCell ref="A414:S414"/>
    <mergeCell ref="A267:F267"/>
    <mergeCell ref="A122:F122"/>
    <mergeCell ref="A265:F265"/>
    <mergeCell ref="A387:F387"/>
    <mergeCell ref="A289:F289"/>
    <mergeCell ref="A320:F320"/>
    <mergeCell ref="A305:S305"/>
    <mergeCell ref="A282:F282"/>
    <mergeCell ref="A404:F404"/>
    <mergeCell ref="A176:F176"/>
    <mergeCell ref="A703:F703"/>
    <mergeCell ref="A808:F808"/>
    <mergeCell ref="A216:F216"/>
    <mergeCell ref="A747:F747"/>
    <mergeCell ref="A790:F790"/>
    <mergeCell ref="A762:F762"/>
    <mergeCell ref="A792:F792"/>
    <mergeCell ref="A788:F788"/>
    <mergeCell ref="A722:F722"/>
    <mergeCell ref="A663:F663"/>
    <mergeCell ref="A796:F796"/>
    <mergeCell ref="A668:F668"/>
    <mergeCell ref="A693:F693"/>
    <mergeCell ref="A623:F623"/>
    <mergeCell ref="A595:F595"/>
    <mergeCell ref="A420:S420"/>
    <mergeCell ref="A806:S806"/>
    <mergeCell ref="A654:F654"/>
    <mergeCell ref="A804:S804"/>
    <mergeCell ref="A229:F229"/>
    <mergeCell ref="A731:F731"/>
    <mergeCell ref="A764:F764"/>
    <mergeCell ref="A246:F246"/>
    <mergeCell ref="A803:F803"/>
    <mergeCell ref="A802:S802"/>
    <mergeCell ref="A799:F799"/>
    <mergeCell ref="A759:B759"/>
    <mergeCell ref="A379:F379"/>
    <mergeCell ref="A560:F560"/>
    <mergeCell ref="A652:F652"/>
    <mergeCell ref="A580:F580"/>
    <mergeCell ref="A406:F406"/>
    <mergeCell ref="A794:F794"/>
    <mergeCell ref="A417:F417"/>
    <mergeCell ref="A419:F419"/>
    <mergeCell ref="A421:F421"/>
    <mergeCell ref="A423:F423"/>
    <mergeCell ref="A611:F611"/>
    <mergeCell ref="A569:F569"/>
    <mergeCell ref="A589:F589"/>
    <mergeCell ref="A422:S422"/>
    <mergeCell ref="A584:F584"/>
    <mergeCell ref="A415:F415"/>
    <mergeCell ref="A412:F412"/>
    <mergeCell ref="A393:F393"/>
    <mergeCell ref="A409:F409"/>
    <mergeCell ref="A395:F395"/>
    <mergeCell ref="A766:F766"/>
  </mergeCells>
  <printOptions horizontalCentered="1"/>
  <pageMargins left="0.59055118110236227" right="0.59055118110236227" top="1.1811023622047245" bottom="0.78740157480314965" header="0.51181102362204722" footer="0.51181102362204722"/>
  <pageSetup paperSize="9" scale="32" firstPageNumber="2" fitToHeight="0" orientation="landscape" useFirstPageNumber="1" r:id="rId1"/>
  <headerFooter>
    <oddHeader>&amp;C&amp;"Times New Roman,обычный"&amp;20&amp;K000000&amp;P</oddHeader>
  </headerFooter>
  <rowBreaks count="12" manualBreakCount="12">
    <brk id="38" max="18" man="1"/>
    <brk id="76" max="18" man="1"/>
    <brk id="125" max="18" man="1"/>
    <brk id="216" max="18" man="1"/>
    <brk id="260" max="18" man="1"/>
    <brk id="393" max="18" man="1"/>
    <brk id="439" max="18" man="1"/>
    <brk id="496" max="18" man="1"/>
    <brk id="600" max="18" man="1"/>
    <brk id="648" max="18" man="1"/>
    <brk id="699" max="18" man="1"/>
    <brk id="785" max="18" man="1"/>
  </rowBreaks>
  <ignoredErrors>
    <ignoredError sqref="K324 K562 K564 K735:K737 K744 K71 K648:K651 O560 L218 K746 L703:M703 P703:Q703 L595:M595 O595 P595:Q595 L663:M663 P663:Q663 L220:M220 O220:P220 L246:M246 O246:Q246 K158 L623:Q623 L584:Q584 L195 O195:Q196 L424:M424 P424:Q424 L271:Q271 L286:Q286" formulaRange="1"/>
    <ignoredError sqref="K76 N351 N118 K261 K731 K118 N125 M39:N39 N329 K283:K284 K282 K789 M58:N58 N218 K94:K95 K31 N90 K239 K122 K412 K51 K217 K208 N326 H326 K762:K763 K34 N176 N127 K265:K268 K387:K388 K404:K405 K382 K393:K394 N807 K333 N156 K611" formula="1"/>
    <ignoredError sqref="M218 K791 K348" formula="1" formulaRange="1"/>
    <ignoredError sqref="R18:S18 R19:S30" numberStoredAsText="1"/>
    <ignoredError sqref="E472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82"/>
  <sheetViews>
    <sheetView view="pageBreakPreview" topLeftCell="A516" zoomScale="50" zoomScaleSheetLayoutView="50" workbookViewId="0">
      <selection activeCell="A692" sqref="A692:C692"/>
    </sheetView>
  </sheetViews>
  <sheetFormatPr defaultColWidth="8.85546875" defaultRowHeight="15.75"/>
  <cols>
    <col min="1" max="1" width="8.85546875" style="116"/>
    <col min="2" max="2" width="61.140625" style="107" customWidth="1"/>
    <col min="3" max="3" width="23.42578125" style="109" customWidth="1"/>
    <col min="4" max="4" width="25.5703125" style="109" customWidth="1"/>
    <col min="5" max="5" width="24.5703125" style="109" customWidth="1"/>
    <col min="6" max="6" width="27.5703125" style="109" customWidth="1"/>
    <col min="7" max="8" width="20.7109375" style="109" customWidth="1"/>
    <col min="9" max="9" width="22.140625" style="109" customWidth="1"/>
    <col min="10" max="10" width="22.7109375" style="109" customWidth="1"/>
    <col min="11" max="11" width="15.140625" style="109" customWidth="1"/>
    <col min="12" max="12" width="19.7109375" style="109" customWidth="1"/>
    <col min="13" max="13" width="20.7109375" style="109" customWidth="1"/>
    <col min="14" max="14" width="23" style="109" customWidth="1"/>
    <col min="15" max="15" width="23.5703125" style="109" customWidth="1"/>
    <col min="16" max="16" width="25" style="109" customWidth="1"/>
    <col min="17" max="17" width="19.28515625" style="109" customWidth="1"/>
    <col min="18" max="18" width="22.42578125" style="109" customWidth="1"/>
    <col min="19" max="19" width="16.42578125" style="109" customWidth="1"/>
    <col min="20" max="20" width="24" style="109" customWidth="1"/>
    <col min="21" max="21" width="21.85546875" style="109" customWidth="1"/>
    <col min="22" max="22" width="21.28515625" style="109" customWidth="1"/>
    <col min="23" max="23" width="13.85546875" style="109" customWidth="1"/>
    <col min="24" max="24" width="26" style="109" customWidth="1"/>
    <col min="25" max="25" width="17" style="109" customWidth="1"/>
    <col min="26" max="26" width="22.42578125" style="109" customWidth="1"/>
    <col min="27" max="27" width="12.42578125" style="109" customWidth="1"/>
    <col min="28" max="28" width="12.28515625" style="107" bestFit="1" customWidth="1"/>
    <col min="29" max="16384" width="8.85546875" style="107"/>
  </cols>
  <sheetData>
    <row r="1" spans="1:27" ht="56.25" customHeight="1">
      <c r="A1" s="200" t="s">
        <v>26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</row>
    <row r="2" spans="1:27" ht="45" customHeight="1">
      <c r="A2" s="197" t="s">
        <v>28</v>
      </c>
      <c r="B2" s="197" t="s">
        <v>3</v>
      </c>
      <c r="C2" s="197" t="s">
        <v>474</v>
      </c>
      <c r="D2" s="201" t="s">
        <v>473</v>
      </c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</row>
    <row r="3" spans="1:27" ht="42.6" customHeight="1">
      <c r="A3" s="197"/>
      <c r="B3" s="197"/>
      <c r="C3" s="197"/>
      <c r="D3" s="197" t="s">
        <v>34</v>
      </c>
      <c r="E3" s="197"/>
      <c r="F3" s="197"/>
      <c r="G3" s="197"/>
      <c r="H3" s="197"/>
      <c r="I3" s="197"/>
      <c r="J3" s="197"/>
      <c r="K3" s="206" t="s">
        <v>458</v>
      </c>
      <c r="L3" s="207"/>
      <c r="M3" s="197" t="s">
        <v>40</v>
      </c>
      <c r="N3" s="197"/>
      <c r="O3" s="197" t="s">
        <v>50</v>
      </c>
      <c r="P3" s="197"/>
      <c r="Q3" s="197" t="s">
        <v>38</v>
      </c>
      <c r="R3" s="197"/>
      <c r="S3" s="198" t="s">
        <v>42</v>
      </c>
      <c r="T3" s="211"/>
      <c r="U3" s="211"/>
      <c r="V3" s="199"/>
      <c r="W3" s="197" t="s">
        <v>35</v>
      </c>
      <c r="X3" s="197"/>
      <c r="Y3" s="204" t="s">
        <v>459</v>
      </c>
      <c r="Z3" s="197" t="s">
        <v>863</v>
      </c>
      <c r="AA3" s="202" t="s">
        <v>47</v>
      </c>
    </row>
    <row r="4" spans="1:27" ht="180" customHeight="1">
      <c r="A4" s="197"/>
      <c r="B4" s="197"/>
      <c r="C4" s="197"/>
      <c r="D4" s="134" t="s">
        <v>39</v>
      </c>
      <c r="E4" s="108" t="s">
        <v>37</v>
      </c>
      <c r="F4" s="108" t="s">
        <v>460</v>
      </c>
      <c r="G4" s="108" t="s">
        <v>6</v>
      </c>
      <c r="H4" s="108" t="s">
        <v>8</v>
      </c>
      <c r="I4" s="108" t="s">
        <v>9</v>
      </c>
      <c r="J4" s="108" t="s">
        <v>7</v>
      </c>
      <c r="K4" s="208"/>
      <c r="L4" s="209"/>
      <c r="M4" s="197"/>
      <c r="N4" s="197"/>
      <c r="O4" s="197"/>
      <c r="P4" s="197"/>
      <c r="Q4" s="197"/>
      <c r="R4" s="197"/>
      <c r="S4" s="198" t="s">
        <v>45</v>
      </c>
      <c r="T4" s="199"/>
      <c r="U4" s="198" t="s">
        <v>46</v>
      </c>
      <c r="V4" s="199"/>
      <c r="W4" s="197"/>
      <c r="X4" s="197"/>
      <c r="Y4" s="205"/>
      <c r="Z4" s="197"/>
      <c r="AA4" s="203"/>
    </row>
    <row r="5" spans="1:27" ht="28.5" customHeight="1">
      <c r="A5" s="197"/>
      <c r="B5" s="197"/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4</v>
      </c>
      <c r="L5" s="134" t="s">
        <v>1</v>
      </c>
      <c r="M5" s="134" t="s">
        <v>4</v>
      </c>
      <c r="N5" s="134" t="s">
        <v>1</v>
      </c>
      <c r="O5" s="134" t="s">
        <v>2</v>
      </c>
      <c r="P5" s="134" t="s">
        <v>1</v>
      </c>
      <c r="Q5" s="134" t="s">
        <v>2</v>
      </c>
      <c r="R5" s="134" t="s">
        <v>1</v>
      </c>
      <c r="S5" s="134" t="s">
        <v>2</v>
      </c>
      <c r="T5" s="134" t="s">
        <v>1</v>
      </c>
      <c r="U5" s="134" t="s">
        <v>2</v>
      </c>
      <c r="V5" s="134" t="s">
        <v>1</v>
      </c>
      <c r="W5" s="134" t="s">
        <v>5</v>
      </c>
      <c r="X5" s="134" t="s">
        <v>1</v>
      </c>
      <c r="Y5" s="134" t="s">
        <v>1</v>
      </c>
      <c r="Z5" s="134" t="s">
        <v>1</v>
      </c>
      <c r="AA5" s="134" t="s">
        <v>1</v>
      </c>
    </row>
    <row r="6" spans="1:27" ht="23.25" customHeight="1">
      <c r="A6" s="123">
        <v>1</v>
      </c>
      <c r="B6" s="123">
        <v>2</v>
      </c>
      <c r="C6" s="135">
        <v>3</v>
      </c>
      <c r="D6" s="135">
        <v>4</v>
      </c>
      <c r="E6" s="135">
        <v>5</v>
      </c>
      <c r="F6" s="135">
        <v>6</v>
      </c>
      <c r="G6" s="135">
        <v>7</v>
      </c>
      <c r="H6" s="135">
        <v>8</v>
      </c>
      <c r="I6" s="135">
        <v>9</v>
      </c>
      <c r="J6" s="135">
        <v>10</v>
      </c>
      <c r="K6" s="135">
        <v>11</v>
      </c>
      <c r="L6" s="135">
        <v>12</v>
      </c>
      <c r="M6" s="135">
        <v>13</v>
      </c>
      <c r="N6" s="135">
        <v>14</v>
      </c>
      <c r="O6" s="135">
        <v>15</v>
      </c>
      <c r="P6" s="135">
        <v>16</v>
      </c>
      <c r="Q6" s="135">
        <v>17</v>
      </c>
      <c r="R6" s="135">
        <v>18</v>
      </c>
      <c r="S6" s="135">
        <v>19</v>
      </c>
      <c r="T6" s="135">
        <v>20</v>
      </c>
      <c r="U6" s="135">
        <v>21</v>
      </c>
      <c r="V6" s="135">
        <v>22</v>
      </c>
      <c r="W6" s="135">
        <v>23</v>
      </c>
      <c r="X6" s="135">
        <v>24</v>
      </c>
      <c r="Y6" s="135">
        <v>25</v>
      </c>
      <c r="Z6" s="135">
        <v>26</v>
      </c>
      <c r="AA6" s="135">
        <v>27</v>
      </c>
    </row>
    <row r="7" spans="1:27" s="75" customFormat="1" ht="18.600000000000001" customHeight="1">
      <c r="A7" s="196" t="s">
        <v>645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</row>
    <row r="8" spans="1:27" s="75" customFormat="1" ht="18.75">
      <c r="A8" s="210" t="s">
        <v>328</v>
      </c>
      <c r="B8" s="210"/>
      <c r="C8" s="8">
        <f t="shared" ref="C8:AA8" si="0">C9+C160+C23+C26+C28+C31+C40+C43+C50+C52+C62+C64+C68+C78+C82+C86+C88+C90+C110+C114+C117+C119+C134+C141+C153+C155+C163+C167+C175</f>
        <v>1176999323</v>
      </c>
      <c r="D8" s="8">
        <f t="shared" si="0"/>
        <v>64927491.390000001</v>
      </c>
      <c r="E8" s="8">
        <f t="shared" si="0"/>
        <v>7860351.8300000001</v>
      </c>
      <c r="F8" s="8">
        <f t="shared" si="0"/>
        <v>19423474.809999999</v>
      </c>
      <c r="G8" s="8">
        <f t="shared" si="0"/>
        <v>2656723.5</v>
      </c>
      <c r="H8" s="8">
        <f t="shared" si="0"/>
        <v>14151200.469999999</v>
      </c>
      <c r="I8" s="8">
        <f t="shared" si="0"/>
        <v>8120706.5600000005</v>
      </c>
      <c r="J8" s="8">
        <f t="shared" si="0"/>
        <v>12715034.219999999</v>
      </c>
      <c r="K8" s="8">
        <f t="shared" si="0"/>
        <v>6</v>
      </c>
      <c r="L8" s="8">
        <f t="shared" si="0"/>
        <v>1409860.9</v>
      </c>
      <c r="M8" s="8">
        <f t="shared" si="0"/>
        <v>36</v>
      </c>
      <c r="N8" s="8">
        <f t="shared" si="0"/>
        <v>195696150.33999997</v>
      </c>
      <c r="O8" s="8">
        <f t="shared" si="0"/>
        <v>62917.98000000001</v>
      </c>
      <c r="P8" s="8">
        <f t="shared" si="0"/>
        <v>649297062.80000007</v>
      </c>
      <c r="Q8" s="8">
        <f t="shared" si="0"/>
        <v>991.5</v>
      </c>
      <c r="R8" s="8">
        <f t="shared" si="0"/>
        <v>1929227.98</v>
      </c>
      <c r="S8" s="8">
        <f t="shared" si="0"/>
        <v>18626.259999999998</v>
      </c>
      <c r="T8" s="8">
        <f t="shared" si="0"/>
        <v>128655933.43999998</v>
      </c>
      <c r="U8" s="8">
        <f t="shared" si="0"/>
        <v>2900.54</v>
      </c>
      <c r="V8" s="8">
        <f t="shared" si="0"/>
        <v>33593052.420000002</v>
      </c>
      <c r="W8" s="8">
        <f t="shared" si="0"/>
        <v>1377.06</v>
      </c>
      <c r="X8" s="8">
        <f t="shared" si="0"/>
        <v>19213539.969999999</v>
      </c>
      <c r="Y8" s="8">
        <f t="shared" si="0"/>
        <v>0</v>
      </c>
      <c r="Z8" s="8">
        <f t="shared" si="0"/>
        <v>82277003.760000005</v>
      </c>
      <c r="AA8" s="8">
        <f t="shared" si="0"/>
        <v>0</v>
      </c>
    </row>
    <row r="9" spans="1:27" s="75" customFormat="1" ht="18.75">
      <c r="A9" s="186" t="s">
        <v>475</v>
      </c>
      <c r="B9" s="187"/>
      <c r="C9" s="8">
        <f>SUM(C10:C22)</f>
        <v>261388585.46000001</v>
      </c>
      <c r="D9" s="8">
        <f t="shared" ref="D9:AA9" si="1">SUM(D10:D22)</f>
        <v>45225210.760000005</v>
      </c>
      <c r="E9" s="8">
        <f t="shared" si="1"/>
        <v>2073513.5</v>
      </c>
      <c r="F9" s="8">
        <f t="shared" si="1"/>
        <v>18241772.809999999</v>
      </c>
      <c r="G9" s="8">
        <f t="shared" si="1"/>
        <v>2656723.5</v>
      </c>
      <c r="H9" s="8">
        <f t="shared" si="1"/>
        <v>8120706.5600000005</v>
      </c>
      <c r="I9" s="8">
        <f t="shared" si="1"/>
        <v>8120706.5600000005</v>
      </c>
      <c r="J9" s="8">
        <f t="shared" si="1"/>
        <v>6011787.8300000001</v>
      </c>
      <c r="K9" s="8">
        <f t="shared" si="1"/>
        <v>6</v>
      </c>
      <c r="L9" s="8">
        <f t="shared" si="1"/>
        <v>1409860.9</v>
      </c>
      <c r="M9" s="8">
        <f t="shared" si="1"/>
        <v>19</v>
      </c>
      <c r="N9" s="8">
        <f t="shared" si="1"/>
        <v>103284079.34999999</v>
      </c>
      <c r="O9" s="8">
        <f t="shared" si="1"/>
        <v>2687.57</v>
      </c>
      <c r="P9" s="8">
        <f t="shared" si="1"/>
        <v>28328272.380000003</v>
      </c>
      <c r="Q9" s="8">
        <f t="shared" si="1"/>
        <v>991.5</v>
      </c>
      <c r="R9" s="8">
        <f t="shared" si="1"/>
        <v>1929227.98</v>
      </c>
      <c r="S9" s="8">
        <f t="shared" si="1"/>
        <v>5878.36</v>
      </c>
      <c r="T9" s="8">
        <f t="shared" si="1"/>
        <v>44271073.68</v>
      </c>
      <c r="U9" s="8">
        <f t="shared" si="1"/>
        <v>1391.9</v>
      </c>
      <c r="V9" s="8">
        <f t="shared" si="1"/>
        <v>16120505.040000001</v>
      </c>
      <c r="W9" s="8">
        <f t="shared" si="1"/>
        <v>52.38</v>
      </c>
      <c r="X9" s="8">
        <f t="shared" si="1"/>
        <v>3631044.64</v>
      </c>
      <c r="Y9" s="8">
        <f t="shared" si="1"/>
        <v>0</v>
      </c>
      <c r="Z9" s="8">
        <f t="shared" si="1"/>
        <v>17189310.729999997</v>
      </c>
      <c r="AA9" s="8">
        <f t="shared" si="1"/>
        <v>0</v>
      </c>
    </row>
    <row r="10" spans="1:27" s="75" customFormat="1" ht="25.5" customHeight="1">
      <c r="A10" s="95">
        <v>1</v>
      </c>
      <c r="B10" s="121" t="s">
        <v>569</v>
      </c>
      <c r="C10" s="8">
        <v>18649053.599999998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1</v>
      </c>
      <c r="N10" s="8">
        <v>5436004.1799999997</v>
      </c>
      <c r="O10" s="8">
        <v>286</v>
      </c>
      <c r="P10" s="8">
        <v>2303369.35</v>
      </c>
      <c r="Q10" s="8">
        <v>0</v>
      </c>
      <c r="R10" s="8">
        <v>0</v>
      </c>
      <c r="S10" s="8">
        <v>1449.7</v>
      </c>
      <c r="T10" s="8">
        <v>9555109.2599999998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1354570.81</v>
      </c>
      <c r="AA10" s="8">
        <v>0</v>
      </c>
    </row>
    <row r="11" spans="1:27" s="75" customFormat="1" ht="24" customHeight="1">
      <c r="A11" s="95">
        <v>2</v>
      </c>
      <c r="B11" s="121" t="s">
        <v>566</v>
      </c>
      <c r="C11" s="8">
        <v>5861773.0599999996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1</v>
      </c>
      <c r="N11" s="8">
        <v>5436004.1799999997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425768.88</v>
      </c>
      <c r="AA11" s="8">
        <v>0</v>
      </c>
    </row>
    <row r="12" spans="1:27" s="75" customFormat="1" ht="27" customHeight="1">
      <c r="A12" s="95">
        <v>3</v>
      </c>
      <c r="B12" s="121" t="s">
        <v>337</v>
      </c>
      <c r="C12" s="8">
        <v>17585319.169999998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3</v>
      </c>
      <c r="N12" s="8">
        <v>16308012.529999999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1277306.6399999999</v>
      </c>
      <c r="AA12" s="8">
        <v>0</v>
      </c>
    </row>
    <row r="13" spans="1:27" s="75" customFormat="1" ht="24" customHeight="1">
      <c r="A13" s="95">
        <v>4</v>
      </c>
      <c r="B13" s="121" t="s">
        <v>568</v>
      </c>
      <c r="C13" s="8">
        <v>5861773.0599999996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1</v>
      </c>
      <c r="N13" s="8">
        <v>5436004.1799999997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425768.88</v>
      </c>
      <c r="AA13" s="8">
        <v>0</v>
      </c>
    </row>
    <row r="14" spans="1:27" s="75" customFormat="1" ht="26.25" customHeight="1">
      <c r="A14" s="95">
        <v>5</v>
      </c>
      <c r="B14" s="121" t="s">
        <v>338</v>
      </c>
      <c r="C14" s="8">
        <v>11723546.109999999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2</v>
      </c>
      <c r="N14" s="8">
        <v>10872008.35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851537.76</v>
      </c>
      <c r="AA14" s="8">
        <v>0</v>
      </c>
    </row>
    <row r="15" spans="1:27" s="75" customFormat="1" ht="26.25" customHeight="1">
      <c r="A15" s="95">
        <v>6</v>
      </c>
      <c r="B15" s="121" t="s">
        <v>570</v>
      </c>
      <c r="C15" s="8">
        <v>17585319.169999998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3</v>
      </c>
      <c r="N15" s="8">
        <v>16308012.529999999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1277306.6399999999</v>
      </c>
      <c r="AA15" s="8">
        <v>0</v>
      </c>
    </row>
    <row r="16" spans="1:27" s="75" customFormat="1" ht="26.25" customHeight="1">
      <c r="A16" s="95">
        <v>7</v>
      </c>
      <c r="B16" s="121" t="s">
        <v>339</v>
      </c>
      <c r="C16" s="8">
        <v>46894184.439999998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8</v>
      </c>
      <c r="N16" s="8">
        <v>43488033.399999999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3406151.04</v>
      </c>
      <c r="AA16" s="8">
        <v>0</v>
      </c>
    </row>
    <row r="17" spans="1:27" s="75" customFormat="1" ht="23.25" customHeight="1">
      <c r="A17" s="95">
        <v>8</v>
      </c>
      <c r="B17" s="121" t="s">
        <v>340</v>
      </c>
      <c r="C17" s="8">
        <v>17728384.190000001</v>
      </c>
      <c r="D17" s="8">
        <v>6474065.0600000005</v>
      </c>
      <c r="E17" s="8">
        <v>672152.7</v>
      </c>
      <c r="F17" s="8">
        <v>1814537.94</v>
      </c>
      <c r="G17" s="8">
        <v>1312481.02</v>
      </c>
      <c r="H17" s="8">
        <v>976130.33000000007</v>
      </c>
      <c r="I17" s="8">
        <v>976130.33000000007</v>
      </c>
      <c r="J17" s="8">
        <v>722632.74</v>
      </c>
      <c r="K17" s="8">
        <v>0</v>
      </c>
      <c r="L17" s="8">
        <v>0</v>
      </c>
      <c r="M17" s="8">
        <v>0</v>
      </c>
      <c r="N17" s="8">
        <v>0</v>
      </c>
      <c r="O17" s="8">
        <v>362.7</v>
      </c>
      <c r="P17" s="8">
        <v>4415533.96</v>
      </c>
      <c r="Q17" s="8">
        <v>0</v>
      </c>
      <c r="R17" s="8">
        <v>0</v>
      </c>
      <c r="S17" s="8">
        <v>0</v>
      </c>
      <c r="T17" s="8">
        <v>0</v>
      </c>
      <c r="U17" s="8">
        <v>479.3</v>
      </c>
      <c r="V17" s="8">
        <v>5551087.0500000007</v>
      </c>
      <c r="W17" s="8">
        <v>0</v>
      </c>
      <c r="X17" s="8">
        <v>0</v>
      </c>
      <c r="Y17" s="8">
        <v>0</v>
      </c>
      <c r="Z17" s="8">
        <v>1287698.1200000001</v>
      </c>
      <c r="AA17" s="8">
        <v>0</v>
      </c>
    </row>
    <row r="18" spans="1:27" s="75" customFormat="1" ht="23.25" customHeight="1">
      <c r="A18" s="95">
        <v>9</v>
      </c>
      <c r="B18" s="121" t="s">
        <v>567</v>
      </c>
      <c r="C18" s="8">
        <v>44045235.380000003</v>
      </c>
      <c r="D18" s="8">
        <v>23499482.010000002</v>
      </c>
      <c r="E18" s="8">
        <v>0</v>
      </c>
      <c r="F18" s="8">
        <v>9498018.459999999</v>
      </c>
      <c r="G18" s="8">
        <v>0</v>
      </c>
      <c r="H18" s="8">
        <v>5109457.16</v>
      </c>
      <c r="I18" s="8">
        <v>5109457.16</v>
      </c>
      <c r="J18" s="8">
        <v>3782549.23</v>
      </c>
      <c r="K18" s="8">
        <v>3</v>
      </c>
      <c r="L18" s="8">
        <v>704930.45</v>
      </c>
      <c r="M18" s="8">
        <v>0</v>
      </c>
      <c r="N18" s="8">
        <v>0</v>
      </c>
      <c r="O18" s="8">
        <v>0</v>
      </c>
      <c r="P18" s="8">
        <v>0</v>
      </c>
      <c r="Q18" s="8">
        <v>991.5</v>
      </c>
      <c r="R18" s="8">
        <v>1929227.98</v>
      </c>
      <c r="S18" s="8">
        <v>2232.16</v>
      </c>
      <c r="T18" s="8">
        <v>14712376.829999998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3199218.1100000003</v>
      </c>
      <c r="AA18" s="8">
        <v>0</v>
      </c>
    </row>
    <row r="19" spans="1:27" s="75" customFormat="1" ht="28.5" customHeight="1">
      <c r="A19" s="95">
        <v>10</v>
      </c>
      <c r="B19" s="121" t="s">
        <v>341</v>
      </c>
      <c r="C19" s="8">
        <v>34341237.170000002</v>
      </c>
      <c r="D19" s="8">
        <v>8203791.6399999997</v>
      </c>
      <c r="E19" s="8">
        <v>688418.49</v>
      </c>
      <c r="F19" s="8">
        <v>3431506.06</v>
      </c>
      <c r="G19" s="8">
        <v>1344242.48</v>
      </c>
      <c r="H19" s="8">
        <v>999752.24</v>
      </c>
      <c r="I19" s="8">
        <v>999752.24</v>
      </c>
      <c r="J19" s="8">
        <v>740120.13</v>
      </c>
      <c r="K19" s="8">
        <v>3</v>
      </c>
      <c r="L19" s="8">
        <v>704930.45</v>
      </c>
      <c r="M19" s="8">
        <v>0</v>
      </c>
      <c r="N19" s="8">
        <v>0</v>
      </c>
      <c r="O19" s="8">
        <v>780</v>
      </c>
      <c r="P19" s="8">
        <v>5229437.8</v>
      </c>
      <c r="Q19" s="8">
        <v>0</v>
      </c>
      <c r="R19" s="8">
        <v>0</v>
      </c>
      <c r="S19" s="8">
        <v>1570</v>
      </c>
      <c r="T19" s="8">
        <v>15874267.07</v>
      </c>
      <c r="U19" s="8">
        <v>0</v>
      </c>
      <c r="V19" s="8">
        <v>0</v>
      </c>
      <c r="W19" s="8">
        <v>52.38</v>
      </c>
      <c r="X19" s="8">
        <v>3631044.64</v>
      </c>
      <c r="Y19" s="8">
        <v>0</v>
      </c>
      <c r="Z19" s="8">
        <v>697765.57</v>
      </c>
      <c r="AA19" s="8">
        <v>0</v>
      </c>
    </row>
    <row r="20" spans="1:27" s="75" customFormat="1" ht="31.5" customHeight="1">
      <c r="A20" s="95">
        <v>11</v>
      </c>
      <c r="B20" s="121" t="s">
        <v>342</v>
      </c>
      <c r="C20" s="8">
        <v>21282048.530000001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704.51</v>
      </c>
      <c r="P20" s="8">
        <v>9166812.6000000015</v>
      </c>
      <c r="Q20" s="8">
        <v>0</v>
      </c>
      <c r="R20" s="8">
        <v>0</v>
      </c>
      <c r="S20" s="8">
        <v>0</v>
      </c>
      <c r="T20" s="8">
        <v>0</v>
      </c>
      <c r="U20" s="8">
        <v>912.6</v>
      </c>
      <c r="V20" s="8">
        <v>10569417.99</v>
      </c>
      <c r="W20" s="8">
        <v>0</v>
      </c>
      <c r="X20" s="8">
        <v>0</v>
      </c>
      <c r="Y20" s="8">
        <v>0</v>
      </c>
      <c r="Z20" s="8">
        <v>1545817.94</v>
      </c>
      <c r="AA20" s="8">
        <v>0</v>
      </c>
    </row>
    <row r="21" spans="1:27" s="75" customFormat="1" ht="30.75" customHeight="1">
      <c r="A21" s="95">
        <v>12</v>
      </c>
      <c r="B21" s="121" t="s">
        <v>343</v>
      </c>
      <c r="C21" s="8">
        <v>15377966.700000001</v>
      </c>
      <c r="D21" s="8">
        <v>7047872.0500000007</v>
      </c>
      <c r="E21" s="8">
        <v>712942.31</v>
      </c>
      <c r="F21" s="8">
        <v>3497710.35</v>
      </c>
      <c r="G21" s="8">
        <v>0</v>
      </c>
      <c r="H21" s="8">
        <v>1035366.83</v>
      </c>
      <c r="I21" s="8">
        <v>1035366.83</v>
      </c>
      <c r="J21" s="8">
        <v>766485.73</v>
      </c>
      <c r="K21" s="8">
        <v>0</v>
      </c>
      <c r="L21" s="8">
        <v>0</v>
      </c>
      <c r="M21" s="8">
        <v>0</v>
      </c>
      <c r="N21" s="8">
        <v>0</v>
      </c>
      <c r="O21" s="8">
        <v>554.36</v>
      </c>
      <c r="P21" s="8">
        <v>7213118.6699999999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1116975.98</v>
      </c>
      <c r="AA21" s="8">
        <v>0</v>
      </c>
    </row>
    <row r="22" spans="1:27" s="75" customFormat="1" ht="28.5" customHeight="1">
      <c r="A22" s="95">
        <v>13</v>
      </c>
      <c r="B22" s="121" t="s">
        <v>344</v>
      </c>
      <c r="C22" s="8">
        <v>4452744.88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626.5</v>
      </c>
      <c r="T22" s="8">
        <v>4129320.52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323424.36</v>
      </c>
      <c r="AA22" s="8">
        <v>0</v>
      </c>
    </row>
    <row r="23" spans="1:27" s="101" customFormat="1" ht="33" customHeight="1">
      <c r="A23" s="158" t="s">
        <v>153</v>
      </c>
      <c r="B23" s="160"/>
      <c r="C23" s="1">
        <f>C24+C25</f>
        <v>18273600.539999999</v>
      </c>
      <c r="D23" s="1">
        <f t="shared" ref="D23:AA23" si="2">D24+D25</f>
        <v>0</v>
      </c>
      <c r="E23" s="1">
        <f t="shared" si="2"/>
        <v>0</v>
      </c>
      <c r="F23" s="1">
        <f t="shared" si="2"/>
        <v>0</v>
      </c>
      <c r="G23" s="1">
        <f t="shared" si="2"/>
        <v>0</v>
      </c>
      <c r="H23" s="1">
        <f t="shared" si="2"/>
        <v>0</v>
      </c>
      <c r="I23" s="1">
        <f t="shared" si="2"/>
        <v>0</v>
      </c>
      <c r="J23" s="1">
        <f t="shared" si="2"/>
        <v>0</v>
      </c>
      <c r="K23" s="1">
        <f t="shared" si="2"/>
        <v>0</v>
      </c>
      <c r="L23" s="1">
        <f t="shared" si="2"/>
        <v>0</v>
      </c>
      <c r="M23" s="1">
        <f t="shared" si="2"/>
        <v>0</v>
      </c>
      <c r="N23" s="1">
        <f t="shared" si="2"/>
        <v>0</v>
      </c>
      <c r="O23" s="1">
        <f t="shared" si="2"/>
        <v>1392</v>
      </c>
      <c r="P23" s="1">
        <f t="shared" si="2"/>
        <v>16946300.699999999</v>
      </c>
      <c r="Q23" s="1">
        <f t="shared" si="2"/>
        <v>0</v>
      </c>
      <c r="R23" s="1">
        <f t="shared" si="2"/>
        <v>0</v>
      </c>
      <c r="S23" s="1">
        <f t="shared" si="2"/>
        <v>0</v>
      </c>
      <c r="T23" s="1">
        <f t="shared" si="2"/>
        <v>0</v>
      </c>
      <c r="U23" s="1">
        <f t="shared" si="2"/>
        <v>0</v>
      </c>
      <c r="V23" s="1">
        <f t="shared" si="2"/>
        <v>0</v>
      </c>
      <c r="W23" s="1">
        <f t="shared" si="2"/>
        <v>0</v>
      </c>
      <c r="X23" s="1">
        <f t="shared" si="2"/>
        <v>0</v>
      </c>
      <c r="Y23" s="1">
        <f t="shared" si="2"/>
        <v>0</v>
      </c>
      <c r="Z23" s="1">
        <f t="shared" si="2"/>
        <v>1327299.8400000001</v>
      </c>
      <c r="AA23" s="1">
        <f t="shared" si="2"/>
        <v>0</v>
      </c>
    </row>
    <row r="24" spans="1:27" s="101" customFormat="1" ht="26.25" customHeight="1">
      <c r="A24" s="76">
        <v>14</v>
      </c>
      <c r="B24" s="7" t="s">
        <v>653</v>
      </c>
      <c r="C24" s="8">
        <f>D24+L24+N24+P24+R24+T24+V24+X24+Y24+Z24+AA24</f>
        <v>9136800.2699999996</v>
      </c>
      <c r="D24" s="1">
        <f>E24+F24+G24+H24+I24+J24</f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8">
        <v>0</v>
      </c>
      <c r="O24" s="8">
        <v>696</v>
      </c>
      <c r="P24" s="1">
        <v>8473150.3499999996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663649.92000000004</v>
      </c>
      <c r="AA24" s="8">
        <v>0</v>
      </c>
    </row>
    <row r="25" spans="1:27" s="101" customFormat="1" ht="29.25" customHeight="1">
      <c r="A25" s="76">
        <v>15</v>
      </c>
      <c r="B25" s="129" t="s">
        <v>654</v>
      </c>
      <c r="C25" s="8">
        <f>D25+L25+N25+P25+R25+T25+V25+X25+Y25+Z25+AA25</f>
        <v>9136800.2699999996</v>
      </c>
      <c r="D25" s="1">
        <f>E25+F25+G25+H25+I25+J25</f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8">
        <v>0</v>
      </c>
      <c r="O25" s="8">
        <v>696</v>
      </c>
      <c r="P25" s="1">
        <v>8473150.3499999996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663649.92000000004</v>
      </c>
      <c r="AA25" s="8">
        <v>0</v>
      </c>
    </row>
    <row r="26" spans="1:27" s="101" customFormat="1" ht="29.25" customHeight="1">
      <c r="A26" s="158" t="s">
        <v>265</v>
      </c>
      <c r="B26" s="160"/>
      <c r="C26" s="8">
        <f>C27</f>
        <v>2741200.12</v>
      </c>
      <c r="D26" s="8">
        <f t="shared" ref="D26:AA26" si="3">D27</f>
        <v>2542093.52</v>
      </c>
      <c r="E26" s="8">
        <f t="shared" si="3"/>
        <v>2542093.52</v>
      </c>
      <c r="F26" s="8">
        <f t="shared" si="3"/>
        <v>0</v>
      </c>
      <c r="G26" s="8">
        <f t="shared" si="3"/>
        <v>0</v>
      </c>
      <c r="H26" s="8">
        <f t="shared" si="3"/>
        <v>0</v>
      </c>
      <c r="I26" s="8">
        <f t="shared" si="3"/>
        <v>0</v>
      </c>
      <c r="J26" s="8">
        <f t="shared" si="3"/>
        <v>0</v>
      </c>
      <c r="K26" s="8">
        <f t="shared" si="3"/>
        <v>0</v>
      </c>
      <c r="L26" s="8">
        <f t="shared" si="3"/>
        <v>0</v>
      </c>
      <c r="M26" s="8">
        <f t="shared" si="3"/>
        <v>0</v>
      </c>
      <c r="N26" s="8">
        <f t="shared" si="3"/>
        <v>0</v>
      </c>
      <c r="O26" s="8">
        <f t="shared" si="3"/>
        <v>0</v>
      </c>
      <c r="P26" s="8">
        <f t="shared" si="3"/>
        <v>0</v>
      </c>
      <c r="Q26" s="8">
        <f t="shared" si="3"/>
        <v>0</v>
      </c>
      <c r="R26" s="8">
        <f t="shared" si="3"/>
        <v>0</v>
      </c>
      <c r="S26" s="8">
        <f t="shared" si="3"/>
        <v>0</v>
      </c>
      <c r="T26" s="8">
        <f t="shared" si="3"/>
        <v>0</v>
      </c>
      <c r="U26" s="8">
        <f t="shared" si="3"/>
        <v>0</v>
      </c>
      <c r="V26" s="8">
        <f t="shared" si="3"/>
        <v>0</v>
      </c>
      <c r="W26" s="8">
        <f t="shared" si="3"/>
        <v>0</v>
      </c>
      <c r="X26" s="8">
        <f t="shared" si="3"/>
        <v>0</v>
      </c>
      <c r="Y26" s="8">
        <f t="shared" si="3"/>
        <v>0</v>
      </c>
      <c r="Z26" s="8">
        <f t="shared" si="3"/>
        <v>199106.6</v>
      </c>
      <c r="AA26" s="8">
        <f t="shared" si="3"/>
        <v>0</v>
      </c>
    </row>
    <row r="27" spans="1:27" s="101" customFormat="1" ht="27" customHeight="1">
      <c r="A27" s="76">
        <v>16</v>
      </c>
      <c r="B27" s="121" t="s">
        <v>269</v>
      </c>
      <c r="C27" s="8">
        <f>D27+L27+N27+P27+R27+T27+V27+X27+Y27+Z27+AA27</f>
        <v>2741200.12</v>
      </c>
      <c r="D27" s="1">
        <f>E27+F27+G27+H27+I27+J27</f>
        <v>2542093.52</v>
      </c>
      <c r="E27" s="1">
        <v>2542093.52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8">
        <v>0</v>
      </c>
      <c r="O27" s="8">
        <v>0</v>
      </c>
      <c r="P27" s="1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199106.6</v>
      </c>
      <c r="AA27" s="8">
        <v>0</v>
      </c>
    </row>
    <row r="28" spans="1:27" s="101" customFormat="1" ht="31.5" customHeight="1">
      <c r="A28" s="158" t="s">
        <v>222</v>
      </c>
      <c r="B28" s="160"/>
      <c r="C28" s="1">
        <f>SUM(C29:C30)</f>
        <v>21463795.240000002</v>
      </c>
      <c r="D28" s="1">
        <f t="shared" ref="D28:AA28" si="4">SUM(D29:D30)</f>
        <v>1481275.39</v>
      </c>
      <c r="E28" s="1">
        <f t="shared" si="4"/>
        <v>0</v>
      </c>
      <c r="F28" s="1">
        <f t="shared" si="4"/>
        <v>0</v>
      </c>
      <c r="G28" s="1">
        <f t="shared" si="4"/>
        <v>0</v>
      </c>
      <c r="H28" s="1">
        <f t="shared" si="4"/>
        <v>0</v>
      </c>
      <c r="I28" s="1">
        <f t="shared" si="4"/>
        <v>0</v>
      </c>
      <c r="J28" s="1">
        <f t="shared" si="4"/>
        <v>1481275.39</v>
      </c>
      <c r="K28" s="1">
        <f t="shared" si="4"/>
        <v>0</v>
      </c>
      <c r="L28" s="1">
        <f t="shared" si="4"/>
        <v>0</v>
      </c>
      <c r="M28" s="1">
        <f t="shared" si="4"/>
        <v>0</v>
      </c>
      <c r="N28" s="1">
        <f t="shared" si="4"/>
        <v>0</v>
      </c>
      <c r="O28" s="1">
        <f t="shared" si="4"/>
        <v>1340.44</v>
      </c>
      <c r="P28" s="1">
        <f t="shared" si="4"/>
        <v>10795553.91</v>
      </c>
      <c r="Q28" s="1">
        <f t="shared" si="4"/>
        <v>0</v>
      </c>
      <c r="R28" s="1">
        <f t="shared" si="4"/>
        <v>0</v>
      </c>
      <c r="S28" s="1">
        <f t="shared" si="4"/>
        <v>0</v>
      </c>
      <c r="T28" s="1">
        <f t="shared" si="4"/>
        <v>0</v>
      </c>
      <c r="U28" s="1">
        <f t="shared" si="4"/>
        <v>0</v>
      </c>
      <c r="V28" s="1">
        <f t="shared" si="4"/>
        <v>0</v>
      </c>
      <c r="W28" s="1">
        <f t="shared" si="4"/>
        <v>204</v>
      </c>
      <c r="X28" s="1">
        <f t="shared" si="4"/>
        <v>8341416.3899999997</v>
      </c>
      <c r="Y28" s="1">
        <f t="shared" si="4"/>
        <v>0</v>
      </c>
      <c r="Z28" s="1">
        <f t="shared" si="4"/>
        <v>845549.55</v>
      </c>
      <c r="AA28" s="1">
        <f t="shared" si="4"/>
        <v>0</v>
      </c>
    </row>
    <row r="29" spans="1:27" s="101" customFormat="1" ht="25.5" customHeight="1">
      <c r="A29" s="76">
        <v>17</v>
      </c>
      <c r="B29" s="121" t="s">
        <v>225</v>
      </c>
      <c r="C29" s="1">
        <f>D29+L29+N29+P29+R29+T29+V29+X29+Y29+Z29+AA29</f>
        <v>9822691.7799999993</v>
      </c>
      <c r="D29" s="1">
        <f>E29+F29+G29+H29+I29+J29</f>
        <v>1481275.39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1481275.39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204</v>
      </c>
      <c r="X29" s="1">
        <v>8341416.3899999997</v>
      </c>
      <c r="Y29" s="1">
        <v>0</v>
      </c>
      <c r="Z29" s="1">
        <v>0</v>
      </c>
      <c r="AA29" s="1">
        <v>0</v>
      </c>
    </row>
    <row r="30" spans="1:27" s="101" customFormat="1" ht="28.5" customHeight="1">
      <c r="A30" s="76">
        <v>18</v>
      </c>
      <c r="B30" s="121" t="s">
        <v>655</v>
      </c>
      <c r="C30" s="1">
        <f>D30+L30+N30+P30+R30+T30+V30+X30+Y30+Z30+AA30</f>
        <v>11641103.460000001</v>
      </c>
      <c r="D30" s="1">
        <f>E30+F30+G30+H30+I30+J30</f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1340.44</v>
      </c>
      <c r="P30" s="8">
        <v>10795553.91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8">
        <v>845549.55</v>
      </c>
      <c r="AA30" s="1">
        <v>0</v>
      </c>
    </row>
    <row r="31" spans="1:27" s="101" customFormat="1" ht="29.25" customHeight="1">
      <c r="A31" s="158" t="s">
        <v>130</v>
      </c>
      <c r="B31" s="160"/>
      <c r="C31" s="1">
        <f>SUM(C32:C39)</f>
        <v>81318256.370000005</v>
      </c>
      <c r="D31" s="1">
        <f t="shared" ref="D31:AA31" si="5">SUM(D32:D39)</f>
        <v>1975776.5499999998</v>
      </c>
      <c r="E31" s="1">
        <f t="shared" si="5"/>
        <v>0</v>
      </c>
      <c r="F31" s="1">
        <f t="shared" si="5"/>
        <v>0</v>
      </c>
      <c r="G31" s="1">
        <f t="shared" si="5"/>
        <v>0</v>
      </c>
      <c r="H31" s="1">
        <f t="shared" si="5"/>
        <v>1135305.71</v>
      </c>
      <c r="I31" s="1">
        <f t="shared" si="5"/>
        <v>0</v>
      </c>
      <c r="J31" s="1">
        <f t="shared" si="5"/>
        <v>840470.84</v>
      </c>
      <c r="K31" s="1">
        <f t="shared" si="5"/>
        <v>0</v>
      </c>
      <c r="L31" s="1">
        <f t="shared" si="5"/>
        <v>0</v>
      </c>
      <c r="M31" s="1">
        <f t="shared" si="5"/>
        <v>0</v>
      </c>
      <c r="N31" s="1">
        <f t="shared" si="5"/>
        <v>0</v>
      </c>
      <c r="O31" s="1">
        <f t="shared" si="5"/>
        <v>5952.83</v>
      </c>
      <c r="P31" s="1">
        <f t="shared" si="5"/>
        <v>73435942.230000004</v>
      </c>
      <c r="Q31" s="1">
        <f t="shared" si="5"/>
        <v>0</v>
      </c>
      <c r="R31" s="1">
        <f t="shared" si="5"/>
        <v>0</v>
      </c>
      <c r="S31" s="1">
        <f t="shared" si="5"/>
        <v>0</v>
      </c>
      <c r="T31" s="1">
        <f t="shared" si="5"/>
        <v>0</v>
      </c>
      <c r="U31" s="1">
        <f t="shared" si="5"/>
        <v>0</v>
      </c>
      <c r="V31" s="1">
        <f t="shared" si="5"/>
        <v>0</v>
      </c>
      <c r="W31" s="1">
        <f t="shared" si="5"/>
        <v>0</v>
      </c>
      <c r="X31" s="1">
        <f t="shared" si="5"/>
        <v>0</v>
      </c>
      <c r="Y31" s="1">
        <f t="shared" si="5"/>
        <v>0</v>
      </c>
      <c r="Z31" s="1">
        <f t="shared" si="5"/>
        <v>5906537.5900000008</v>
      </c>
      <c r="AA31" s="1">
        <f t="shared" si="5"/>
        <v>0</v>
      </c>
    </row>
    <row r="32" spans="1:27" s="101" customFormat="1" ht="28.5" customHeight="1">
      <c r="A32" s="120">
        <v>19</v>
      </c>
      <c r="B32" s="67" t="s">
        <v>657</v>
      </c>
      <c r="C32" s="37">
        <f t="shared" ref="C32:C38" si="6">P32+Z32</f>
        <v>6734752.6099999994</v>
      </c>
      <c r="D32" s="37">
        <f t="shared" ref="D32:D39" si="7">SUM(E32:J32)</f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37">
        <v>480</v>
      </c>
      <c r="P32" s="37">
        <v>6245575.0099999998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7">
        <v>489177.59999999998</v>
      </c>
      <c r="AA32" s="2">
        <v>0</v>
      </c>
    </row>
    <row r="33" spans="1:27" s="101" customFormat="1" ht="26.25" customHeight="1">
      <c r="A33" s="120">
        <v>20</v>
      </c>
      <c r="B33" s="103" t="s">
        <v>658</v>
      </c>
      <c r="C33" s="37">
        <f t="shared" si="6"/>
        <v>17316730.760000002</v>
      </c>
      <c r="D33" s="37">
        <f t="shared" si="7"/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37">
        <v>1319.11</v>
      </c>
      <c r="P33" s="37">
        <v>16058932.99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7">
        <v>1257797.77</v>
      </c>
      <c r="AA33" s="2">
        <v>0</v>
      </c>
    </row>
    <row r="34" spans="1:27" s="101" customFormat="1" ht="28.5" customHeight="1">
      <c r="A34" s="120">
        <v>21</v>
      </c>
      <c r="B34" s="103" t="s">
        <v>841</v>
      </c>
      <c r="C34" s="37">
        <f t="shared" si="6"/>
        <v>20327805.299999997</v>
      </c>
      <c r="D34" s="37">
        <f t="shared" si="7"/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37">
        <v>1548.48</v>
      </c>
      <c r="P34" s="37">
        <v>18851298.649999999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7">
        <v>1476506.65</v>
      </c>
      <c r="AA34" s="2">
        <v>0</v>
      </c>
    </row>
    <row r="35" spans="1:27" s="101" customFormat="1" ht="27" customHeight="1">
      <c r="A35" s="120">
        <v>22</v>
      </c>
      <c r="B35" s="67" t="s">
        <v>842</v>
      </c>
      <c r="C35" s="37">
        <f t="shared" si="6"/>
        <v>9444368.0700000003</v>
      </c>
      <c r="D35" s="37">
        <f t="shared" si="7"/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37">
        <v>673.12</v>
      </c>
      <c r="P35" s="37">
        <v>8758378.0199999996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7">
        <v>685990.05</v>
      </c>
      <c r="AA35" s="2">
        <v>0</v>
      </c>
    </row>
    <row r="36" spans="1:27" s="101" customFormat="1" ht="33" customHeight="1">
      <c r="A36" s="120">
        <v>23</v>
      </c>
      <c r="B36" s="67" t="s">
        <v>843</v>
      </c>
      <c r="C36" s="37">
        <f t="shared" si="6"/>
        <v>9210446.0399999991</v>
      </c>
      <c r="D36" s="37">
        <f t="shared" si="7"/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37">
        <v>701.61</v>
      </c>
      <c r="P36" s="37">
        <v>8541446.8699999992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37">
        <v>668999.17000000004</v>
      </c>
      <c r="AA36" s="2">
        <v>0</v>
      </c>
    </row>
    <row r="37" spans="1:27" s="101" customFormat="1" ht="28.5" customHeight="1">
      <c r="A37" s="120">
        <v>24</v>
      </c>
      <c r="B37" s="67" t="s">
        <v>656</v>
      </c>
      <c r="C37" s="37">
        <f t="shared" si="6"/>
        <v>5646174.9900000002</v>
      </c>
      <c r="D37" s="37">
        <f t="shared" si="7"/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37">
        <v>430.1</v>
      </c>
      <c r="P37" s="37">
        <v>5236066.04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37">
        <v>410108.95</v>
      </c>
      <c r="AA37" s="2">
        <v>0</v>
      </c>
    </row>
    <row r="38" spans="1:27" s="101" customFormat="1" ht="29.25" customHeight="1">
      <c r="A38" s="120">
        <v>25</v>
      </c>
      <c r="B38" s="67" t="s">
        <v>662</v>
      </c>
      <c r="C38" s="37">
        <f t="shared" si="6"/>
        <v>10507451.59</v>
      </c>
      <c r="D38" s="37">
        <f t="shared" si="7"/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37">
        <v>800.41</v>
      </c>
      <c r="P38" s="37">
        <v>9744244.6500000004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37">
        <v>763206.94</v>
      </c>
      <c r="AA38" s="2">
        <v>0</v>
      </c>
    </row>
    <row r="39" spans="1:27" s="101" customFormat="1" ht="31.5" customHeight="1">
      <c r="A39" s="120">
        <v>26</v>
      </c>
      <c r="B39" s="67" t="s">
        <v>844</v>
      </c>
      <c r="C39" s="37">
        <f>D39+Z39</f>
        <v>2130527.0099999998</v>
      </c>
      <c r="D39" s="37">
        <f t="shared" si="7"/>
        <v>1975776.5499999998</v>
      </c>
      <c r="E39" s="2">
        <v>0</v>
      </c>
      <c r="F39" s="2">
        <v>0</v>
      </c>
      <c r="G39" s="2">
        <v>0</v>
      </c>
      <c r="H39" s="37">
        <v>1135305.71</v>
      </c>
      <c r="I39" s="2">
        <v>0</v>
      </c>
      <c r="J39" s="37">
        <v>840470.84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37">
        <v>154750.46</v>
      </c>
      <c r="AA39" s="2">
        <v>0</v>
      </c>
    </row>
    <row r="40" spans="1:27" s="101" customFormat="1" ht="31.5" customHeight="1">
      <c r="A40" s="158" t="s">
        <v>226</v>
      </c>
      <c r="B40" s="160"/>
      <c r="C40" s="37">
        <f>SUM(C41:C42)</f>
        <v>862270.26</v>
      </c>
      <c r="D40" s="37">
        <f t="shared" ref="D40:AA40" si="8">SUM(D41:D42)</f>
        <v>669024.66</v>
      </c>
      <c r="E40" s="37">
        <f t="shared" si="8"/>
        <v>669024.66</v>
      </c>
      <c r="F40" s="37">
        <f t="shared" si="8"/>
        <v>0</v>
      </c>
      <c r="G40" s="37">
        <f t="shared" si="8"/>
        <v>0</v>
      </c>
      <c r="H40" s="37">
        <f t="shared" si="8"/>
        <v>0</v>
      </c>
      <c r="I40" s="37">
        <f t="shared" si="8"/>
        <v>0</v>
      </c>
      <c r="J40" s="37">
        <f t="shared" si="8"/>
        <v>0</v>
      </c>
      <c r="K40" s="37">
        <f t="shared" si="8"/>
        <v>0</v>
      </c>
      <c r="L40" s="37">
        <f t="shared" si="8"/>
        <v>0</v>
      </c>
      <c r="M40" s="37">
        <f t="shared" si="8"/>
        <v>0</v>
      </c>
      <c r="N40" s="37">
        <f t="shared" si="8"/>
        <v>0</v>
      </c>
      <c r="O40" s="37">
        <f t="shared" si="8"/>
        <v>0</v>
      </c>
      <c r="P40" s="37">
        <f t="shared" si="8"/>
        <v>0</v>
      </c>
      <c r="Q40" s="37">
        <f t="shared" si="8"/>
        <v>0</v>
      </c>
      <c r="R40" s="37">
        <f t="shared" si="8"/>
        <v>0</v>
      </c>
      <c r="S40" s="37">
        <f t="shared" si="8"/>
        <v>0</v>
      </c>
      <c r="T40" s="37">
        <f t="shared" si="8"/>
        <v>0</v>
      </c>
      <c r="U40" s="37">
        <f t="shared" si="8"/>
        <v>0</v>
      </c>
      <c r="V40" s="37">
        <f t="shared" si="8"/>
        <v>0</v>
      </c>
      <c r="W40" s="37">
        <f t="shared" si="8"/>
        <v>0</v>
      </c>
      <c r="X40" s="37">
        <f t="shared" si="8"/>
        <v>0</v>
      </c>
      <c r="Y40" s="37">
        <f t="shared" si="8"/>
        <v>0</v>
      </c>
      <c r="Z40" s="37">
        <f t="shared" si="8"/>
        <v>193245.6</v>
      </c>
      <c r="AA40" s="37">
        <f t="shared" si="8"/>
        <v>0</v>
      </c>
    </row>
    <row r="41" spans="1:27" s="75" customFormat="1" ht="25.5" customHeight="1">
      <c r="A41" s="76">
        <v>27</v>
      </c>
      <c r="B41" s="154" t="s">
        <v>227</v>
      </c>
      <c r="C41" s="1">
        <f>D41+L41+N41+P41+R41+T41+V41+X41+Y41+Z41+AA41</f>
        <v>721425.26</v>
      </c>
      <c r="D41" s="1">
        <f>E41+F41+G41+H41+I41+J41</f>
        <v>669024.66</v>
      </c>
      <c r="E41" s="1">
        <v>669024.66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8">
        <v>52400.6</v>
      </c>
      <c r="AA41" s="37">
        <v>0</v>
      </c>
    </row>
    <row r="42" spans="1:27" s="75" customFormat="1" ht="25.5" customHeight="1">
      <c r="A42" s="76">
        <v>28</v>
      </c>
      <c r="B42" s="155" t="s">
        <v>228</v>
      </c>
      <c r="C42" s="1">
        <f>D42+L42+N42+P42+R42+T42+V42+X42+Y42+Z42+AA42</f>
        <v>140845</v>
      </c>
      <c r="D42" s="1">
        <f>E42+F42+G42+H42+I42+J42</f>
        <v>0</v>
      </c>
      <c r="E42" s="1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8">
        <v>140845</v>
      </c>
      <c r="AA42" s="37">
        <v>0</v>
      </c>
    </row>
    <row r="43" spans="1:27" s="101" customFormat="1" ht="34.5" customHeight="1">
      <c r="A43" s="158" t="s">
        <v>73</v>
      </c>
      <c r="B43" s="160"/>
      <c r="C43" s="37">
        <f>SUM(C44:C49)</f>
        <v>43525203.68</v>
      </c>
      <c r="D43" s="37">
        <f t="shared" ref="D43:AA43" si="9">SUM(D44:D49)</f>
        <v>0</v>
      </c>
      <c r="E43" s="37">
        <f t="shared" si="9"/>
        <v>0</v>
      </c>
      <c r="F43" s="37">
        <f t="shared" si="9"/>
        <v>0</v>
      </c>
      <c r="G43" s="37">
        <f t="shared" si="9"/>
        <v>0</v>
      </c>
      <c r="H43" s="37">
        <f t="shared" si="9"/>
        <v>0</v>
      </c>
      <c r="I43" s="37">
        <f t="shared" si="9"/>
        <v>0</v>
      </c>
      <c r="J43" s="37">
        <f t="shared" si="9"/>
        <v>0</v>
      </c>
      <c r="K43" s="37">
        <f t="shared" si="9"/>
        <v>0</v>
      </c>
      <c r="L43" s="37">
        <f t="shared" si="9"/>
        <v>0</v>
      </c>
      <c r="M43" s="37">
        <f t="shared" si="9"/>
        <v>2</v>
      </c>
      <c r="N43" s="37">
        <f t="shared" si="9"/>
        <v>10872008.35</v>
      </c>
      <c r="O43" s="37">
        <f t="shared" si="9"/>
        <v>2420.33</v>
      </c>
      <c r="P43" s="37">
        <f t="shared" si="9"/>
        <v>29491749.630000003</v>
      </c>
      <c r="Q43" s="37">
        <f t="shared" si="9"/>
        <v>0</v>
      </c>
      <c r="R43" s="37">
        <f t="shared" si="9"/>
        <v>0</v>
      </c>
      <c r="S43" s="37">
        <f t="shared" si="9"/>
        <v>0</v>
      </c>
      <c r="T43" s="37">
        <f t="shared" si="9"/>
        <v>0</v>
      </c>
      <c r="U43" s="37">
        <f t="shared" si="9"/>
        <v>0</v>
      </c>
      <c r="V43" s="37">
        <f t="shared" si="9"/>
        <v>0</v>
      </c>
      <c r="W43" s="37">
        <f t="shared" si="9"/>
        <v>0</v>
      </c>
      <c r="X43" s="37">
        <f t="shared" si="9"/>
        <v>0</v>
      </c>
      <c r="Y43" s="37">
        <f t="shared" si="9"/>
        <v>0</v>
      </c>
      <c r="Z43" s="37">
        <f t="shared" si="9"/>
        <v>3161445.6999999997</v>
      </c>
      <c r="AA43" s="37">
        <f t="shared" si="9"/>
        <v>0</v>
      </c>
    </row>
    <row r="44" spans="1:27" s="101" customFormat="1" ht="26.25" customHeight="1">
      <c r="A44" s="76">
        <v>29</v>
      </c>
      <c r="B44" s="14" t="s">
        <v>571</v>
      </c>
      <c r="C44" s="1">
        <f>D44+L44+N44+P44+R44+T44+V44+X44+Y44+Z44+AA44</f>
        <v>3504472.02</v>
      </c>
      <c r="D44" s="1">
        <f>E44+F44+G44+H44+I44+J44</f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8">
        <v>403.53</v>
      </c>
      <c r="P44" s="1">
        <v>3249925.3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8">
        <v>254546.72</v>
      </c>
      <c r="AA44" s="2">
        <v>0</v>
      </c>
    </row>
    <row r="45" spans="1:27" s="101" customFormat="1" ht="21.75" customHeight="1">
      <c r="A45" s="76">
        <v>30</v>
      </c>
      <c r="B45" s="14" t="s">
        <v>572</v>
      </c>
      <c r="C45" s="1">
        <f t="shared" ref="C45:C49" si="10">D45+L45+N45+P45+R45+T45+V45+X45+Y45+Z45+AA45</f>
        <v>11723546.109999999</v>
      </c>
      <c r="D45" s="1">
        <f t="shared" ref="D45:D49" si="11">E45+F45+G45+H45+I45+J45</f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2</v>
      </c>
      <c r="N45" s="8">
        <v>10872008.35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8">
        <v>851537.76</v>
      </c>
      <c r="AA45" s="2">
        <v>0</v>
      </c>
    </row>
    <row r="46" spans="1:27" s="101" customFormat="1" ht="24" customHeight="1">
      <c r="A46" s="76">
        <v>31</v>
      </c>
      <c r="B46" s="14" t="s">
        <v>206</v>
      </c>
      <c r="C46" s="1">
        <f t="shared" si="10"/>
        <v>4130648.27</v>
      </c>
      <c r="D46" s="1">
        <f t="shared" si="11"/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8">
        <v>294.39999999999998</v>
      </c>
      <c r="P46" s="1">
        <v>3830619.34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8">
        <v>300028.93</v>
      </c>
      <c r="AA46" s="2">
        <v>0</v>
      </c>
    </row>
    <row r="47" spans="1:27" s="101" customFormat="1" ht="25.5" customHeight="1">
      <c r="A47" s="76">
        <v>32</v>
      </c>
      <c r="B47" s="14" t="s">
        <v>666</v>
      </c>
      <c r="C47" s="1">
        <f t="shared" si="10"/>
        <v>8979670.1400000006</v>
      </c>
      <c r="D47" s="1">
        <f t="shared" si="11"/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8">
        <v>640</v>
      </c>
      <c r="P47" s="1">
        <v>8327433.3399999999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8">
        <v>652236.80000000005</v>
      </c>
      <c r="AA47" s="2">
        <v>0</v>
      </c>
    </row>
    <row r="48" spans="1:27" s="101" customFormat="1" ht="26.25" customHeight="1">
      <c r="A48" s="76">
        <v>33</v>
      </c>
      <c r="B48" s="14" t="s">
        <v>207</v>
      </c>
      <c r="C48" s="1">
        <f t="shared" si="10"/>
        <v>4158709.7399999998</v>
      </c>
      <c r="D48" s="1">
        <f t="shared" si="11"/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8">
        <v>296.39999999999998</v>
      </c>
      <c r="P48" s="1">
        <v>3856642.57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8">
        <v>302067.17</v>
      </c>
      <c r="AA48" s="2">
        <v>0</v>
      </c>
    </row>
    <row r="49" spans="1:27" s="101" customFormat="1" ht="26.25" customHeight="1">
      <c r="A49" s="76">
        <v>34</v>
      </c>
      <c r="B49" s="14" t="s">
        <v>667</v>
      </c>
      <c r="C49" s="1">
        <f t="shared" si="10"/>
        <v>11028157.4</v>
      </c>
      <c r="D49" s="1">
        <f t="shared" si="11"/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8">
        <v>786</v>
      </c>
      <c r="P49" s="1">
        <v>10227129.08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8">
        <v>801028.32</v>
      </c>
      <c r="AA49" s="2">
        <v>0</v>
      </c>
    </row>
    <row r="50" spans="1:27" s="101" customFormat="1" ht="29.25" customHeight="1">
      <c r="A50" s="158" t="s">
        <v>142</v>
      </c>
      <c r="B50" s="160"/>
      <c r="C50" s="37">
        <f>C51</f>
        <v>11552276.209999999</v>
      </c>
      <c r="D50" s="37">
        <f t="shared" ref="D50:AA50" si="12">D51</f>
        <v>0</v>
      </c>
      <c r="E50" s="37">
        <f t="shared" si="12"/>
        <v>0</v>
      </c>
      <c r="F50" s="37">
        <f t="shared" si="12"/>
        <v>0</v>
      </c>
      <c r="G50" s="37">
        <f t="shared" si="12"/>
        <v>0</v>
      </c>
      <c r="H50" s="37">
        <f t="shared" si="12"/>
        <v>0</v>
      </c>
      <c r="I50" s="37">
        <f t="shared" si="12"/>
        <v>0</v>
      </c>
      <c r="J50" s="37">
        <f t="shared" si="12"/>
        <v>0</v>
      </c>
      <c r="K50" s="37">
        <f t="shared" si="12"/>
        <v>0</v>
      </c>
      <c r="L50" s="37">
        <f t="shared" si="12"/>
        <v>0</v>
      </c>
      <c r="M50" s="37">
        <f t="shared" si="12"/>
        <v>0</v>
      </c>
      <c r="N50" s="37">
        <f t="shared" si="12"/>
        <v>0</v>
      </c>
      <c r="O50" s="37">
        <f t="shared" si="12"/>
        <v>880</v>
      </c>
      <c r="P50" s="37">
        <f t="shared" si="12"/>
        <v>10713178.609999999</v>
      </c>
      <c r="Q50" s="37">
        <f t="shared" si="12"/>
        <v>0</v>
      </c>
      <c r="R50" s="37">
        <f t="shared" si="12"/>
        <v>0</v>
      </c>
      <c r="S50" s="37">
        <f t="shared" si="12"/>
        <v>0</v>
      </c>
      <c r="T50" s="37">
        <f t="shared" si="12"/>
        <v>0</v>
      </c>
      <c r="U50" s="37">
        <f t="shared" si="12"/>
        <v>0</v>
      </c>
      <c r="V50" s="37">
        <f t="shared" si="12"/>
        <v>0</v>
      </c>
      <c r="W50" s="37">
        <f t="shared" si="12"/>
        <v>0</v>
      </c>
      <c r="X50" s="37">
        <f t="shared" si="12"/>
        <v>0</v>
      </c>
      <c r="Y50" s="37">
        <f t="shared" si="12"/>
        <v>0</v>
      </c>
      <c r="Z50" s="37">
        <f t="shared" si="12"/>
        <v>839097.6</v>
      </c>
      <c r="AA50" s="37">
        <f t="shared" si="12"/>
        <v>0</v>
      </c>
    </row>
    <row r="51" spans="1:27" s="109" customFormat="1" ht="25.5" customHeight="1">
      <c r="A51" s="76">
        <v>35</v>
      </c>
      <c r="B51" s="14" t="s">
        <v>668</v>
      </c>
      <c r="C51" s="8">
        <f>D51+L51+N51+P51+R51+T51+V51+X51+Y51+Z51+AA51</f>
        <v>11552276.209999999</v>
      </c>
      <c r="D51" s="1">
        <f>E51+F51+G51+H51+I51+J51</f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3">
        <v>0</v>
      </c>
      <c r="O51" s="3">
        <v>880</v>
      </c>
      <c r="P51" s="63">
        <v>10713178.609999999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63">
        <v>839097.6</v>
      </c>
      <c r="AA51" s="2">
        <v>0</v>
      </c>
    </row>
    <row r="52" spans="1:27" s="101" customFormat="1" ht="38.25" customHeight="1">
      <c r="A52" s="158" t="s">
        <v>284</v>
      </c>
      <c r="B52" s="160"/>
      <c r="C52" s="8">
        <f>SUM(C53:C61)</f>
        <v>48607867.289999999</v>
      </c>
      <c r="D52" s="8">
        <f t="shared" ref="D52:AA52" si="13">SUM(D53:D61)</f>
        <v>0</v>
      </c>
      <c r="E52" s="8">
        <f t="shared" si="13"/>
        <v>0</v>
      </c>
      <c r="F52" s="8">
        <f t="shared" si="13"/>
        <v>0</v>
      </c>
      <c r="G52" s="8">
        <f t="shared" si="13"/>
        <v>0</v>
      </c>
      <c r="H52" s="8">
        <f t="shared" si="13"/>
        <v>0</v>
      </c>
      <c r="I52" s="8">
        <f t="shared" si="13"/>
        <v>0</v>
      </c>
      <c r="J52" s="8">
        <f t="shared" si="13"/>
        <v>0</v>
      </c>
      <c r="K52" s="8">
        <f t="shared" si="13"/>
        <v>0</v>
      </c>
      <c r="L52" s="8">
        <f t="shared" si="13"/>
        <v>0</v>
      </c>
      <c r="M52" s="8">
        <f t="shared" si="13"/>
        <v>0</v>
      </c>
      <c r="N52" s="8">
        <f t="shared" si="13"/>
        <v>0</v>
      </c>
      <c r="O52" s="8">
        <f t="shared" si="13"/>
        <v>3691.3</v>
      </c>
      <c r="P52" s="8">
        <f t="shared" si="13"/>
        <v>41563215.82</v>
      </c>
      <c r="Q52" s="8">
        <f t="shared" si="13"/>
        <v>0</v>
      </c>
      <c r="R52" s="8">
        <f t="shared" si="13"/>
        <v>0</v>
      </c>
      <c r="S52" s="8">
        <f t="shared" si="13"/>
        <v>0</v>
      </c>
      <c r="T52" s="8">
        <f t="shared" si="13"/>
        <v>0</v>
      </c>
      <c r="U52" s="8">
        <f t="shared" si="13"/>
        <v>0</v>
      </c>
      <c r="V52" s="8">
        <f t="shared" si="13"/>
        <v>0</v>
      </c>
      <c r="W52" s="8">
        <f t="shared" si="13"/>
        <v>495.51</v>
      </c>
      <c r="X52" s="8">
        <f t="shared" si="13"/>
        <v>3789259.59</v>
      </c>
      <c r="Y52" s="8">
        <f t="shared" si="13"/>
        <v>0</v>
      </c>
      <c r="Z52" s="8">
        <f t="shared" si="13"/>
        <v>3255391.88</v>
      </c>
      <c r="AA52" s="8">
        <f t="shared" si="13"/>
        <v>0</v>
      </c>
    </row>
    <row r="53" spans="1:27" s="101" customFormat="1" ht="27" customHeight="1">
      <c r="A53" s="120">
        <v>36</v>
      </c>
      <c r="B53" s="7" t="s">
        <v>288</v>
      </c>
      <c r="C53" s="1">
        <f t="shared" ref="C53:C61" si="14">D53+L53+N53+P53+R53+T53+V53+X53+Y53+Z53+AA53</f>
        <v>5191371.8000000007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8">
        <v>370</v>
      </c>
      <c r="P53" s="8">
        <v>4814297.4000000004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63">
        <v>377074.4</v>
      </c>
      <c r="AA53" s="2">
        <v>0</v>
      </c>
    </row>
    <row r="54" spans="1:27" s="101" customFormat="1" ht="37.5">
      <c r="A54" s="120">
        <v>37</v>
      </c>
      <c r="B54" s="7" t="s">
        <v>289</v>
      </c>
      <c r="C54" s="1">
        <f t="shared" si="14"/>
        <v>10523050.949999999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8">
        <v>750</v>
      </c>
      <c r="P54" s="8">
        <v>9758710.9499999993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63">
        <v>764340</v>
      </c>
      <c r="AA54" s="2">
        <v>0</v>
      </c>
    </row>
    <row r="55" spans="1:27" s="101" customFormat="1" ht="31.5" customHeight="1">
      <c r="A55" s="120">
        <v>38</v>
      </c>
      <c r="B55" s="7" t="s">
        <v>471</v>
      </c>
      <c r="C55" s="1">
        <f t="shared" si="14"/>
        <v>8409239.1099999994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8">
        <v>968.3</v>
      </c>
      <c r="P55" s="8">
        <v>7798435.4699999997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63">
        <v>610803.64</v>
      </c>
      <c r="AA55" s="2">
        <v>0</v>
      </c>
    </row>
    <row r="56" spans="1:27" s="101" customFormat="1" ht="29.25" customHeight="1">
      <c r="A56" s="120">
        <v>39</v>
      </c>
      <c r="B56" s="7" t="s">
        <v>314</v>
      </c>
      <c r="C56" s="1">
        <f t="shared" si="14"/>
        <v>2918005.0999999996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8">
        <v>336</v>
      </c>
      <c r="P56" s="8">
        <v>2706056.3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63">
        <v>211948.79999999999</v>
      </c>
      <c r="AA56" s="2">
        <v>0</v>
      </c>
    </row>
    <row r="57" spans="1:27" s="101" customFormat="1" ht="49.5" customHeight="1">
      <c r="A57" s="120">
        <v>40</v>
      </c>
      <c r="B57" s="7" t="s">
        <v>290</v>
      </c>
      <c r="C57" s="1">
        <f t="shared" si="14"/>
        <v>12978429.51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8">
        <v>925</v>
      </c>
      <c r="P57" s="8">
        <v>12035743.51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63">
        <v>942686</v>
      </c>
      <c r="AA57" s="2">
        <v>0</v>
      </c>
    </row>
    <row r="58" spans="1:27" s="101" customFormat="1" ht="45.75" customHeight="1">
      <c r="A58" s="120">
        <v>41</v>
      </c>
      <c r="B58" s="7" t="s">
        <v>291</v>
      </c>
      <c r="C58" s="1">
        <f t="shared" si="14"/>
        <v>4798511.2300000004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8">
        <v>342</v>
      </c>
      <c r="P58" s="8">
        <v>4449972.1900000004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63">
        <v>348539.04</v>
      </c>
      <c r="AA58" s="2">
        <v>0</v>
      </c>
    </row>
    <row r="59" spans="1:27" s="101" customFormat="1" ht="37.5">
      <c r="A59" s="120">
        <v>42</v>
      </c>
      <c r="B59" s="7" t="s">
        <v>285</v>
      </c>
      <c r="C59" s="1">
        <f t="shared" si="14"/>
        <v>2484509.08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1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120</v>
      </c>
      <c r="X59" s="2">
        <v>2484509.08</v>
      </c>
      <c r="Y59" s="2">
        <v>0</v>
      </c>
      <c r="Z59" s="2">
        <v>0</v>
      </c>
      <c r="AA59" s="2">
        <v>0</v>
      </c>
    </row>
    <row r="60" spans="1:27" s="101" customFormat="1" ht="46.5" customHeight="1">
      <c r="A60" s="120">
        <v>43</v>
      </c>
      <c r="B60" s="7" t="s">
        <v>286</v>
      </c>
      <c r="C60" s="1">
        <f t="shared" si="14"/>
        <v>689116.11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1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221.64</v>
      </c>
      <c r="X60" s="2">
        <v>689116.11</v>
      </c>
      <c r="Y60" s="2">
        <v>0</v>
      </c>
      <c r="Z60" s="2">
        <v>0</v>
      </c>
      <c r="AA60" s="2">
        <v>0</v>
      </c>
    </row>
    <row r="61" spans="1:27" s="101" customFormat="1" ht="27" customHeight="1">
      <c r="A61" s="120">
        <v>44</v>
      </c>
      <c r="B61" s="7" t="s">
        <v>287</v>
      </c>
      <c r="C61" s="1">
        <f t="shared" si="14"/>
        <v>615634.4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1">
        <v>0</v>
      </c>
      <c r="P61" s="2">
        <v>0</v>
      </c>
      <c r="Q61" s="8"/>
      <c r="R61" s="133"/>
      <c r="S61" s="133"/>
      <c r="T61" s="2">
        <v>0</v>
      </c>
      <c r="U61" s="2">
        <v>0</v>
      </c>
      <c r="V61" s="2">
        <v>0</v>
      </c>
      <c r="W61" s="2">
        <v>153.87</v>
      </c>
      <c r="X61" s="2">
        <v>615634.4</v>
      </c>
      <c r="Y61" s="2">
        <v>0</v>
      </c>
      <c r="Z61" s="2">
        <v>0</v>
      </c>
      <c r="AA61" s="2">
        <v>0</v>
      </c>
    </row>
    <row r="62" spans="1:27" s="101" customFormat="1" ht="29.25" customHeight="1">
      <c r="A62" s="158" t="s">
        <v>116</v>
      </c>
      <c r="B62" s="160"/>
      <c r="C62" s="1">
        <f>C63</f>
        <v>7436289.3399999999</v>
      </c>
      <c r="D62" s="1">
        <f t="shared" ref="D62:AA62" si="15">D63</f>
        <v>0</v>
      </c>
      <c r="E62" s="1">
        <f t="shared" si="15"/>
        <v>0</v>
      </c>
      <c r="F62" s="1">
        <f t="shared" si="15"/>
        <v>0</v>
      </c>
      <c r="G62" s="1">
        <f t="shared" si="15"/>
        <v>0</v>
      </c>
      <c r="H62" s="1">
        <f t="shared" si="15"/>
        <v>0</v>
      </c>
      <c r="I62" s="1">
        <f t="shared" si="15"/>
        <v>0</v>
      </c>
      <c r="J62" s="1">
        <f t="shared" si="15"/>
        <v>0</v>
      </c>
      <c r="K62" s="1">
        <f t="shared" si="15"/>
        <v>0</v>
      </c>
      <c r="L62" s="1">
        <f t="shared" si="15"/>
        <v>0</v>
      </c>
      <c r="M62" s="1">
        <f t="shared" si="15"/>
        <v>0</v>
      </c>
      <c r="N62" s="1">
        <f t="shared" si="15"/>
        <v>0</v>
      </c>
      <c r="O62" s="1">
        <f t="shared" si="15"/>
        <v>530</v>
      </c>
      <c r="P62" s="1">
        <f t="shared" si="15"/>
        <v>6896155.7400000002</v>
      </c>
      <c r="Q62" s="1">
        <f t="shared" si="15"/>
        <v>0</v>
      </c>
      <c r="R62" s="1">
        <f t="shared" si="15"/>
        <v>0</v>
      </c>
      <c r="S62" s="1">
        <f t="shared" si="15"/>
        <v>0</v>
      </c>
      <c r="T62" s="1">
        <f t="shared" si="15"/>
        <v>0</v>
      </c>
      <c r="U62" s="1">
        <f t="shared" si="15"/>
        <v>0</v>
      </c>
      <c r="V62" s="1">
        <f t="shared" si="15"/>
        <v>0</v>
      </c>
      <c r="W62" s="1">
        <f t="shared" si="15"/>
        <v>0</v>
      </c>
      <c r="X62" s="1">
        <f t="shared" si="15"/>
        <v>0</v>
      </c>
      <c r="Y62" s="1">
        <f t="shared" si="15"/>
        <v>0</v>
      </c>
      <c r="Z62" s="1">
        <f t="shared" si="15"/>
        <v>540133.6</v>
      </c>
      <c r="AA62" s="1">
        <f t="shared" si="15"/>
        <v>0</v>
      </c>
    </row>
    <row r="63" spans="1:27" s="101" customFormat="1" ht="25.5" customHeight="1">
      <c r="A63" s="76">
        <v>45</v>
      </c>
      <c r="B63" s="121" t="s">
        <v>117</v>
      </c>
      <c r="C63" s="1">
        <f>D63+L63+N63+P63+R63+T63+V63+X63+Y63+Z63+AA63</f>
        <v>7436289.3399999999</v>
      </c>
      <c r="D63" s="1">
        <f>SUM(E63:J63)</f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3">
        <v>530</v>
      </c>
      <c r="P63" s="8">
        <v>6896155.7400000002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1">
        <v>540133.6</v>
      </c>
      <c r="AA63" s="2">
        <v>0</v>
      </c>
    </row>
    <row r="64" spans="1:27" s="101" customFormat="1" ht="33" customHeight="1">
      <c r="A64" s="158" t="s">
        <v>271</v>
      </c>
      <c r="B64" s="160"/>
      <c r="C64" s="1">
        <f>SUM(C65:C67)</f>
        <v>12095194.77</v>
      </c>
      <c r="D64" s="1">
        <f t="shared" ref="D64:AA64" si="16">SUM(D65:D67)</f>
        <v>0</v>
      </c>
      <c r="E64" s="1">
        <f t="shared" si="16"/>
        <v>0</v>
      </c>
      <c r="F64" s="1">
        <f t="shared" si="16"/>
        <v>0</v>
      </c>
      <c r="G64" s="1">
        <f t="shared" si="16"/>
        <v>0</v>
      </c>
      <c r="H64" s="1">
        <f t="shared" si="16"/>
        <v>0</v>
      </c>
      <c r="I64" s="1">
        <f t="shared" si="16"/>
        <v>0</v>
      </c>
      <c r="J64" s="1">
        <f t="shared" si="16"/>
        <v>0</v>
      </c>
      <c r="K64" s="1">
        <f t="shared" si="16"/>
        <v>0</v>
      </c>
      <c r="L64" s="1">
        <f t="shared" si="16"/>
        <v>0</v>
      </c>
      <c r="M64" s="1">
        <f t="shared" si="16"/>
        <v>0</v>
      </c>
      <c r="N64" s="1">
        <f t="shared" si="16"/>
        <v>0</v>
      </c>
      <c r="O64" s="1">
        <f t="shared" si="16"/>
        <v>862.05</v>
      </c>
      <c r="P64" s="1">
        <f t="shared" si="16"/>
        <v>11216662.370000001</v>
      </c>
      <c r="Q64" s="1">
        <f t="shared" si="16"/>
        <v>0</v>
      </c>
      <c r="R64" s="1">
        <f t="shared" si="16"/>
        <v>0</v>
      </c>
      <c r="S64" s="1">
        <f t="shared" si="16"/>
        <v>0</v>
      </c>
      <c r="T64" s="1">
        <f t="shared" si="16"/>
        <v>0</v>
      </c>
      <c r="U64" s="1">
        <f t="shared" si="16"/>
        <v>0</v>
      </c>
      <c r="V64" s="1">
        <f t="shared" si="16"/>
        <v>0</v>
      </c>
      <c r="W64" s="1">
        <f t="shared" si="16"/>
        <v>0</v>
      </c>
      <c r="X64" s="1">
        <f t="shared" si="16"/>
        <v>0</v>
      </c>
      <c r="Y64" s="1">
        <f t="shared" si="16"/>
        <v>0</v>
      </c>
      <c r="Z64" s="1">
        <f t="shared" si="16"/>
        <v>878532.39999999991</v>
      </c>
      <c r="AA64" s="1">
        <f t="shared" si="16"/>
        <v>0</v>
      </c>
    </row>
    <row r="65" spans="1:27" s="109" customFormat="1" ht="31.5" customHeight="1">
      <c r="A65" s="120">
        <v>46</v>
      </c>
      <c r="B65" s="121" t="s">
        <v>272</v>
      </c>
      <c r="C65" s="8">
        <f>D65+L65+N65+P65+R65+T65+V65+X65+Y65+Z65+AA65</f>
        <v>4812541.97</v>
      </c>
      <c r="D65" s="1">
        <f t="shared" ref="D65:D67" si="17">SUM(E65:J65)</f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3">
        <v>343</v>
      </c>
      <c r="P65" s="8">
        <v>4462983.8099999996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1">
        <v>349558.16</v>
      </c>
      <c r="AA65" s="3">
        <v>0</v>
      </c>
    </row>
    <row r="66" spans="1:27" s="109" customFormat="1" ht="31.5" customHeight="1">
      <c r="A66" s="120">
        <v>47</v>
      </c>
      <c r="B66" s="121" t="s">
        <v>273</v>
      </c>
      <c r="C66" s="8">
        <f t="shared" ref="C66:C67" si="18">D66+L66+N66+P66+R66+T66+V66+X66+Y66+Z66+AA66</f>
        <v>3564508.13</v>
      </c>
      <c r="D66" s="1">
        <f t="shared" si="17"/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3">
        <v>254.05</v>
      </c>
      <c r="P66" s="8">
        <v>3305600.69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1">
        <v>258907.44</v>
      </c>
      <c r="AA66" s="3">
        <v>0</v>
      </c>
    </row>
    <row r="67" spans="1:27" s="109" customFormat="1" ht="24" customHeight="1">
      <c r="A67" s="120">
        <v>48</v>
      </c>
      <c r="B67" s="121" t="s">
        <v>274</v>
      </c>
      <c r="C67" s="8">
        <f t="shared" si="18"/>
        <v>3718144.67</v>
      </c>
      <c r="D67" s="1">
        <f t="shared" si="17"/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3">
        <v>265</v>
      </c>
      <c r="P67" s="8">
        <v>3448077.87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1">
        <v>270066.8</v>
      </c>
      <c r="AA67" s="3">
        <v>0</v>
      </c>
    </row>
    <row r="68" spans="1:27" s="101" customFormat="1" ht="35.25" customHeight="1">
      <c r="A68" s="158" t="s">
        <v>76</v>
      </c>
      <c r="B68" s="160"/>
      <c r="C68" s="1">
        <f>SUM(C69:C77)</f>
        <v>54423965.019999996</v>
      </c>
      <c r="D68" s="1">
        <f t="shared" ref="D68:AA68" si="19">SUM(D69:D77)</f>
        <v>0</v>
      </c>
      <c r="E68" s="1">
        <f t="shared" si="19"/>
        <v>0</v>
      </c>
      <c r="F68" s="1">
        <f t="shared" si="19"/>
        <v>0</v>
      </c>
      <c r="G68" s="1">
        <f t="shared" si="19"/>
        <v>0</v>
      </c>
      <c r="H68" s="1">
        <f t="shared" si="19"/>
        <v>0</v>
      </c>
      <c r="I68" s="1">
        <f t="shared" si="19"/>
        <v>0</v>
      </c>
      <c r="J68" s="1">
        <f t="shared" si="19"/>
        <v>0</v>
      </c>
      <c r="K68" s="1">
        <f t="shared" si="19"/>
        <v>0</v>
      </c>
      <c r="L68" s="1">
        <f t="shared" si="19"/>
        <v>0</v>
      </c>
      <c r="M68" s="1">
        <f t="shared" si="19"/>
        <v>0</v>
      </c>
      <c r="N68" s="1">
        <f t="shared" si="19"/>
        <v>0</v>
      </c>
      <c r="O68" s="1">
        <f t="shared" si="19"/>
        <v>4436.5</v>
      </c>
      <c r="P68" s="1">
        <f t="shared" si="19"/>
        <v>46447026.650000006</v>
      </c>
      <c r="Q68" s="1">
        <f t="shared" si="19"/>
        <v>0</v>
      </c>
      <c r="R68" s="1">
        <f t="shared" si="19"/>
        <v>0</v>
      </c>
      <c r="S68" s="1">
        <f t="shared" si="19"/>
        <v>610.5</v>
      </c>
      <c r="T68" s="1">
        <f t="shared" si="19"/>
        <v>4023863.01</v>
      </c>
      <c r="U68" s="1">
        <f t="shared" si="19"/>
        <v>0</v>
      </c>
      <c r="V68" s="1">
        <f t="shared" si="19"/>
        <v>0</v>
      </c>
      <c r="W68" s="1">
        <f t="shared" si="19"/>
        <v>0</v>
      </c>
      <c r="X68" s="1">
        <f t="shared" si="19"/>
        <v>0</v>
      </c>
      <c r="Y68" s="1">
        <f t="shared" si="19"/>
        <v>0</v>
      </c>
      <c r="Z68" s="1">
        <f t="shared" si="19"/>
        <v>3953075.36</v>
      </c>
      <c r="AA68" s="1">
        <f t="shared" si="19"/>
        <v>0</v>
      </c>
    </row>
    <row r="69" spans="1:27" s="101" customFormat="1" ht="27" customHeight="1">
      <c r="A69" s="76">
        <v>49</v>
      </c>
      <c r="B69" s="14" t="s">
        <v>481</v>
      </c>
      <c r="C69" s="1">
        <f>D69+L69+N69+P69+R69+T69+V69+X69+Y69+Z69</f>
        <v>7816085.0999999996</v>
      </c>
      <c r="D69" s="1">
        <f t="shared" ref="D69:D74" si="20">E69+F69+G69+H69+I69+J69</f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8">
        <v>0</v>
      </c>
      <c r="O69" s="2">
        <v>900</v>
      </c>
      <c r="P69" s="8">
        <v>7248365.0999999996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8">
        <v>567720</v>
      </c>
      <c r="AA69" s="2">
        <v>0</v>
      </c>
    </row>
    <row r="70" spans="1:27" s="101" customFormat="1" ht="31.5" customHeight="1">
      <c r="A70" s="76">
        <v>50</v>
      </c>
      <c r="B70" s="14" t="s">
        <v>82</v>
      </c>
      <c r="C70" s="1">
        <v>5040993.25</v>
      </c>
      <c r="D70" s="1">
        <f t="shared" si="20"/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8">
        <v>384</v>
      </c>
      <c r="P70" s="8">
        <v>4674841.57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8">
        <v>366151.67999999999</v>
      </c>
      <c r="AA70" s="2">
        <v>0</v>
      </c>
    </row>
    <row r="71" spans="1:27" s="101" customFormat="1" ht="29.25" customHeight="1">
      <c r="A71" s="76">
        <v>51</v>
      </c>
      <c r="B71" s="14" t="s">
        <v>78</v>
      </c>
      <c r="C71" s="1">
        <f>D71+L71+N71+P71+R71+T71+V71+X71+Y71+Z71+AA71</f>
        <v>6454137.9199999999</v>
      </c>
      <c r="D71" s="1">
        <f t="shared" si="20"/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8">
        <v>460</v>
      </c>
      <c r="P71" s="8">
        <v>5985342.7199999997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8">
        <v>468795.2</v>
      </c>
      <c r="AA71" s="2">
        <v>0</v>
      </c>
    </row>
    <row r="72" spans="1:27" s="101" customFormat="1" ht="29.25" customHeight="1">
      <c r="A72" s="76">
        <v>52</v>
      </c>
      <c r="B72" s="14" t="s">
        <v>573</v>
      </c>
      <c r="C72" s="1">
        <f>D72+L72+N72+P72+R72+T72+V72+X72+Y72+Z72+AA72</f>
        <v>6622506.7299999995</v>
      </c>
      <c r="D72" s="1">
        <f t="shared" si="20"/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8">
        <v>472</v>
      </c>
      <c r="P72" s="8">
        <v>6141482.0899999999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8">
        <v>481024.64</v>
      </c>
      <c r="AA72" s="2">
        <v>0</v>
      </c>
    </row>
    <row r="73" spans="1:27" s="101" customFormat="1" ht="26.25" customHeight="1">
      <c r="A73" s="76">
        <v>53</v>
      </c>
      <c r="B73" s="14" t="s">
        <v>90</v>
      </c>
      <c r="C73" s="1">
        <v>5262830.63</v>
      </c>
      <c r="D73" s="1">
        <f t="shared" si="20"/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8">
        <v>606</v>
      </c>
      <c r="P73" s="8">
        <v>4880565.83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8">
        <v>382264.8</v>
      </c>
      <c r="AA73" s="2">
        <v>0</v>
      </c>
    </row>
    <row r="74" spans="1:27" s="101" customFormat="1" ht="25.5" customHeight="1">
      <c r="A74" s="76">
        <v>54</v>
      </c>
      <c r="B74" s="67" t="s">
        <v>79</v>
      </c>
      <c r="C74" s="37">
        <f>D74+L74+N74+P74+R74+T74+V74+X74+Y74+Z74+AA74</f>
        <v>5566789.5</v>
      </c>
      <c r="D74" s="37">
        <f t="shared" si="20"/>
        <v>0</v>
      </c>
      <c r="E74" s="2">
        <v>0</v>
      </c>
      <c r="F74" s="2">
        <v>0</v>
      </c>
      <c r="G74" s="2">
        <v>0</v>
      </c>
      <c r="H74" s="37">
        <v>0</v>
      </c>
      <c r="I74" s="2">
        <v>0</v>
      </c>
      <c r="J74" s="37">
        <v>0</v>
      </c>
      <c r="K74" s="2">
        <v>0</v>
      </c>
      <c r="L74" s="2">
        <v>0</v>
      </c>
      <c r="M74" s="2">
        <v>0</v>
      </c>
      <c r="N74" s="2">
        <v>0</v>
      </c>
      <c r="O74" s="2">
        <v>641</v>
      </c>
      <c r="P74" s="8">
        <v>5162446.7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37">
        <v>404342.8</v>
      </c>
      <c r="AA74" s="2">
        <v>0</v>
      </c>
    </row>
    <row r="75" spans="1:27" s="101" customFormat="1" ht="28.5" customHeight="1">
      <c r="A75" s="76">
        <v>55</v>
      </c>
      <c r="B75" s="14" t="s">
        <v>80</v>
      </c>
      <c r="C75" s="1">
        <v>8418440.7599999998</v>
      </c>
      <c r="D75" s="1">
        <f t="shared" ref="D75:D76" si="21">E75+F75+G75+H75+I75+J75</f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8">
        <v>0</v>
      </c>
      <c r="O75" s="2">
        <v>600</v>
      </c>
      <c r="P75" s="8">
        <v>7806968.7599999998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8">
        <v>611472</v>
      </c>
      <c r="AA75" s="2">
        <v>0</v>
      </c>
    </row>
    <row r="76" spans="1:27" s="101" customFormat="1" ht="28.5" customHeight="1">
      <c r="A76" s="76">
        <v>56</v>
      </c>
      <c r="B76" s="14" t="s">
        <v>81</v>
      </c>
      <c r="C76" s="1">
        <f t="shared" ref="C76" si="22">D76+L76+N76+P76+R76+T76+V76+X76+Y76+Z76+AA76</f>
        <v>4903153.5999999996</v>
      </c>
      <c r="D76" s="1">
        <f t="shared" si="21"/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8">
        <v>373.5</v>
      </c>
      <c r="P76" s="8">
        <v>4547013.88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8">
        <v>356139.72</v>
      </c>
      <c r="AA76" s="2">
        <v>0</v>
      </c>
    </row>
    <row r="77" spans="1:27" s="101" customFormat="1" ht="34.5" customHeight="1">
      <c r="A77" s="76">
        <v>57</v>
      </c>
      <c r="B77" s="14" t="s">
        <v>83</v>
      </c>
      <c r="C77" s="1">
        <v>4339027.53</v>
      </c>
      <c r="D77" s="1">
        <f t="shared" ref="D77:D81" si="23">E77+F77+G77+H77+I77+J77</f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8">
        <v>0</v>
      </c>
      <c r="P77" s="1">
        <v>0</v>
      </c>
      <c r="Q77" s="2">
        <v>0</v>
      </c>
      <c r="R77" s="2">
        <v>0</v>
      </c>
      <c r="S77" s="2">
        <v>610.5</v>
      </c>
      <c r="T77" s="8">
        <v>4023863.01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8">
        <v>315164.52</v>
      </c>
      <c r="AA77" s="2">
        <v>0</v>
      </c>
    </row>
    <row r="78" spans="1:27" s="101" customFormat="1" ht="36" customHeight="1">
      <c r="A78" s="158" t="s">
        <v>270</v>
      </c>
      <c r="B78" s="160"/>
      <c r="C78" s="1">
        <f>SUM(C79:C81)</f>
        <v>47276020</v>
      </c>
      <c r="D78" s="1">
        <f t="shared" ref="D78:AA78" si="24">SUM(D79:D81)</f>
        <v>0</v>
      </c>
      <c r="E78" s="1">
        <f t="shared" si="24"/>
        <v>0</v>
      </c>
      <c r="F78" s="1">
        <f t="shared" si="24"/>
        <v>0</v>
      </c>
      <c r="G78" s="1">
        <f t="shared" si="24"/>
        <v>0</v>
      </c>
      <c r="H78" s="1">
        <f t="shared" si="24"/>
        <v>0</v>
      </c>
      <c r="I78" s="1">
        <f t="shared" si="24"/>
        <v>0</v>
      </c>
      <c r="J78" s="1">
        <f t="shared" si="24"/>
        <v>0</v>
      </c>
      <c r="K78" s="1">
        <f t="shared" si="24"/>
        <v>0</v>
      </c>
      <c r="L78" s="1">
        <f t="shared" si="24"/>
        <v>0</v>
      </c>
      <c r="M78" s="1">
        <f t="shared" si="24"/>
        <v>0</v>
      </c>
      <c r="N78" s="1">
        <f t="shared" si="24"/>
        <v>0</v>
      </c>
      <c r="O78" s="1">
        <f t="shared" si="24"/>
        <v>4982</v>
      </c>
      <c r="P78" s="1">
        <f t="shared" si="24"/>
        <v>43842134.399999999</v>
      </c>
      <c r="Q78" s="1">
        <f t="shared" si="24"/>
        <v>0</v>
      </c>
      <c r="R78" s="1">
        <f t="shared" si="24"/>
        <v>0</v>
      </c>
      <c r="S78" s="1">
        <f t="shared" si="24"/>
        <v>0</v>
      </c>
      <c r="T78" s="1">
        <f t="shared" si="24"/>
        <v>0</v>
      </c>
      <c r="U78" s="1">
        <f t="shared" si="24"/>
        <v>0</v>
      </c>
      <c r="V78" s="1">
        <f t="shared" si="24"/>
        <v>0</v>
      </c>
      <c r="W78" s="1">
        <f t="shared" si="24"/>
        <v>0</v>
      </c>
      <c r="X78" s="1">
        <f t="shared" si="24"/>
        <v>0</v>
      </c>
      <c r="Y78" s="1">
        <f t="shared" si="24"/>
        <v>0</v>
      </c>
      <c r="Z78" s="1">
        <f t="shared" si="24"/>
        <v>3433885.6</v>
      </c>
      <c r="AA78" s="1">
        <f t="shared" si="24"/>
        <v>0</v>
      </c>
    </row>
    <row r="79" spans="1:27" s="101" customFormat="1" ht="31.5" customHeight="1">
      <c r="A79" s="76">
        <v>58</v>
      </c>
      <c r="B79" s="124" t="s">
        <v>669</v>
      </c>
      <c r="C79" s="1">
        <f t="shared" ref="C79:C81" si="25">D79+L79+N79+P79+R79+T79+V79+X79+Y79+Z79+AA79</f>
        <v>27199976.150000002</v>
      </c>
      <c r="D79" s="1">
        <f t="shared" si="23"/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1">
        <v>3132</v>
      </c>
      <c r="P79" s="1">
        <v>25224310.550000001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1">
        <v>1975665.6</v>
      </c>
      <c r="AA79" s="2">
        <v>0</v>
      </c>
    </row>
    <row r="80" spans="1:27" s="101" customFormat="1" ht="33" customHeight="1">
      <c r="A80" s="76">
        <v>59</v>
      </c>
      <c r="B80" s="124" t="s">
        <v>670</v>
      </c>
      <c r="C80" s="1">
        <f t="shared" si="25"/>
        <v>10523050.949999999</v>
      </c>
      <c r="D80" s="1">
        <f t="shared" si="23"/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1">
        <v>750</v>
      </c>
      <c r="P80" s="1">
        <v>9758710.9499999993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1">
        <v>764340</v>
      </c>
      <c r="AA80" s="2">
        <v>0</v>
      </c>
    </row>
    <row r="81" spans="1:27" s="101" customFormat="1" ht="36" customHeight="1">
      <c r="A81" s="76">
        <v>60</v>
      </c>
      <c r="B81" s="124" t="s">
        <v>671</v>
      </c>
      <c r="C81" s="1">
        <f t="shared" si="25"/>
        <v>9552992.9000000004</v>
      </c>
      <c r="D81" s="1">
        <f t="shared" si="23"/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1">
        <v>1100</v>
      </c>
      <c r="P81" s="1">
        <v>8859112.9000000004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1">
        <v>693880</v>
      </c>
      <c r="AA81" s="2">
        <v>0</v>
      </c>
    </row>
    <row r="82" spans="1:27" s="75" customFormat="1" ht="25.5" customHeight="1">
      <c r="A82" s="158" t="s">
        <v>161</v>
      </c>
      <c r="B82" s="160"/>
      <c r="C82" s="1">
        <f>C83+C84+C85</f>
        <v>18237452.509999998</v>
      </c>
      <c r="D82" s="1">
        <f t="shared" ref="D82:AA82" si="26">D83+D84+D85</f>
        <v>0</v>
      </c>
      <c r="E82" s="1">
        <f t="shared" si="26"/>
        <v>0</v>
      </c>
      <c r="F82" s="1">
        <f t="shared" si="26"/>
        <v>0</v>
      </c>
      <c r="G82" s="1">
        <f t="shared" si="26"/>
        <v>0</v>
      </c>
      <c r="H82" s="1">
        <f t="shared" si="26"/>
        <v>0</v>
      </c>
      <c r="I82" s="1">
        <f t="shared" si="26"/>
        <v>0</v>
      </c>
      <c r="J82" s="1">
        <f t="shared" si="26"/>
        <v>0</v>
      </c>
      <c r="K82" s="1">
        <f t="shared" si="26"/>
        <v>0</v>
      </c>
      <c r="L82" s="1">
        <f t="shared" si="26"/>
        <v>0</v>
      </c>
      <c r="M82" s="1">
        <f t="shared" si="26"/>
        <v>0</v>
      </c>
      <c r="N82" s="1">
        <f t="shared" si="26"/>
        <v>0</v>
      </c>
      <c r="O82" s="1">
        <f t="shared" si="26"/>
        <v>1280.3</v>
      </c>
      <c r="P82" s="1">
        <f t="shared" si="26"/>
        <v>16658770.17</v>
      </c>
      <c r="Q82" s="1">
        <f t="shared" si="26"/>
        <v>0</v>
      </c>
      <c r="R82" s="1">
        <f t="shared" si="26"/>
        <v>0</v>
      </c>
      <c r="S82" s="1">
        <f t="shared" si="26"/>
        <v>0</v>
      </c>
      <c r="T82" s="1">
        <f t="shared" si="26"/>
        <v>0</v>
      </c>
      <c r="U82" s="1">
        <f t="shared" si="26"/>
        <v>0</v>
      </c>
      <c r="V82" s="1">
        <f t="shared" si="26"/>
        <v>0</v>
      </c>
      <c r="W82" s="1">
        <f t="shared" si="26"/>
        <v>0</v>
      </c>
      <c r="X82" s="1">
        <f>X84+X85</f>
        <v>0</v>
      </c>
      <c r="Y82" s="1">
        <f t="shared" si="26"/>
        <v>0</v>
      </c>
      <c r="Z82" s="1">
        <f t="shared" si="26"/>
        <v>1578682.3399999999</v>
      </c>
      <c r="AA82" s="1">
        <f t="shared" si="26"/>
        <v>0</v>
      </c>
    </row>
    <row r="83" spans="1:27" s="75" customFormat="1" ht="31.5" customHeight="1">
      <c r="A83" s="76">
        <v>61</v>
      </c>
      <c r="B83" s="9" t="s">
        <v>162</v>
      </c>
      <c r="C83" s="8">
        <f>D83+L83+N83+P83+R83+T83+V83+Y83++Z83+AA83</f>
        <v>5198690.84</v>
      </c>
      <c r="D83" s="1">
        <f t="shared" ref="D83:D87" si="27">E83+F83+G83+H83+I83+J83</f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8">
        <v>0</v>
      </c>
      <c r="O83" s="8">
        <v>351</v>
      </c>
      <c r="P83" s="8">
        <v>4567076.72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2" t="s">
        <v>180</v>
      </c>
      <c r="Y83" s="1">
        <v>0</v>
      </c>
      <c r="Z83" s="8">
        <f>357711.12+273903</f>
        <v>631614.12</v>
      </c>
      <c r="AA83" s="1">
        <v>0</v>
      </c>
    </row>
    <row r="84" spans="1:27" s="75" customFormat="1" ht="25.5" customHeight="1">
      <c r="A84" s="76">
        <v>62</v>
      </c>
      <c r="B84" s="9" t="s">
        <v>164</v>
      </c>
      <c r="C84" s="8">
        <f t="shared" ref="C84:C87" si="28">D84+L84+N84+P84+R84+T84+V84+X84+Y84++Z84+AA84</f>
        <v>4774658.99</v>
      </c>
      <c r="D84" s="1">
        <f t="shared" si="27"/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8">
        <v>340.3</v>
      </c>
      <c r="P84" s="8">
        <v>4427852.45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8">
        <v>346806.54</v>
      </c>
      <c r="AA84" s="1">
        <v>0</v>
      </c>
    </row>
    <row r="85" spans="1:27" s="75" customFormat="1" ht="25.5" customHeight="1">
      <c r="A85" s="76">
        <v>63</v>
      </c>
      <c r="B85" s="9" t="s">
        <v>165</v>
      </c>
      <c r="C85" s="8">
        <f t="shared" si="28"/>
        <v>8264102.6799999997</v>
      </c>
      <c r="D85" s="1">
        <f t="shared" si="27"/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8">
        <v>589</v>
      </c>
      <c r="P85" s="8">
        <v>7663841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8">
        <v>600261.68000000005</v>
      </c>
      <c r="AA85" s="1">
        <v>0</v>
      </c>
    </row>
    <row r="86" spans="1:27" s="75" customFormat="1" ht="25.5" customHeight="1">
      <c r="A86" s="158" t="s">
        <v>48</v>
      </c>
      <c r="B86" s="160"/>
      <c r="C86" s="8">
        <f>C87</f>
        <v>1560367.15</v>
      </c>
      <c r="D86" s="8">
        <f t="shared" ref="D86:AA86" si="29">D87</f>
        <v>1447030.15</v>
      </c>
      <c r="E86" s="8">
        <f t="shared" si="29"/>
        <v>1447030.15</v>
      </c>
      <c r="F86" s="8">
        <f t="shared" si="29"/>
        <v>0</v>
      </c>
      <c r="G86" s="8">
        <f t="shared" si="29"/>
        <v>0</v>
      </c>
      <c r="H86" s="8">
        <f t="shared" si="29"/>
        <v>0</v>
      </c>
      <c r="I86" s="8">
        <f t="shared" si="29"/>
        <v>0</v>
      </c>
      <c r="J86" s="8">
        <f t="shared" si="29"/>
        <v>0</v>
      </c>
      <c r="K86" s="8">
        <f t="shared" si="29"/>
        <v>0</v>
      </c>
      <c r="L86" s="8">
        <f t="shared" si="29"/>
        <v>0</v>
      </c>
      <c r="M86" s="8">
        <f t="shared" si="29"/>
        <v>0</v>
      </c>
      <c r="N86" s="8">
        <f t="shared" si="29"/>
        <v>0</v>
      </c>
      <c r="O86" s="8">
        <f t="shared" si="29"/>
        <v>0</v>
      </c>
      <c r="P86" s="8">
        <f t="shared" si="29"/>
        <v>0</v>
      </c>
      <c r="Q86" s="8">
        <f t="shared" si="29"/>
        <v>0</v>
      </c>
      <c r="R86" s="8">
        <f t="shared" si="29"/>
        <v>0</v>
      </c>
      <c r="S86" s="8">
        <f t="shared" si="29"/>
        <v>0</v>
      </c>
      <c r="T86" s="8">
        <f t="shared" si="29"/>
        <v>0</v>
      </c>
      <c r="U86" s="8">
        <f t="shared" si="29"/>
        <v>0</v>
      </c>
      <c r="V86" s="8">
        <f t="shared" si="29"/>
        <v>0</v>
      </c>
      <c r="W86" s="8">
        <f t="shared" si="29"/>
        <v>0</v>
      </c>
      <c r="X86" s="8">
        <f t="shared" si="29"/>
        <v>0</v>
      </c>
      <c r="Y86" s="8">
        <f t="shared" si="29"/>
        <v>0</v>
      </c>
      <c r="Z86" s="8">
        <f t="shared" si="29"/>
        <v>113337</v>
      </c>
      <c r="AA86" s="8">
        <f t="shared" si="29"/>
        <v>0</v>
      </c>
    </row>
    <row r="87" spans="1:27" s="75" customFormat="1" ht="25.5" customHeight="1">
      <c r="A87" s="76">
        <v>64</v>
      </c>
      <c r="B87" s="121" t="s">
        <v>49</v>
      </c>
      <c r="C87" s="8">
        <f t="shared" si="28"/>
        <v>1560367.15</v>
      </c>
      <c r="D87" s="1">
        <f t="shared" si="27"/>
        <v>1447030.15</v>
      </c>
      <c r="E87" s="1">
        <v>1447030.15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113337</v>
      </c>
      <c r="AA87" s="1">
        <v>0</v>
      </c>
    </row>
    <row r="88" spans="1:27" s="75" customFormat="1" ht="25.5" customHeight="1">
      <c r="A88" s="158" t="s">
        <v>143</v>
      </c>
      <c r="B88" s="160"/>
      <c r="C88" s="1">
        <f>C89</f>
        <v>6597952.9499999993</v>
      </c>
      <c r="D88" s="1">
        <f t="shared" ref="D88:AA88" si="30">D89</f>
        <v>0</v>
      </c>
      <c r="E88" s="1">
        <f t="shared" si="30"/>
        <v>0</v>
      </c>
      <c r="F88" s="1">
        <f t="shared" si="30"/>
        <v>0</v>
      </c>
      <c r="G88" s="1">
        <f t="shared" si="30"/>
        <v>0</v>
      </c>
      <c r="H88" s="1">
        <f t="shared" si="30"/>
        <v>0</v>
      </c>
      <c r="I88" s="1">
        <f t="shared" si="30"/>
        <v>0</v>
      </c>
      <c r="J88" s="1">
        <f t="shared" si="30"/>
        <v>0</v>
      </c>
      <c r="K88" s="1">
        <f t="shared" si="30"/>
        <v>0</v>
      </c>
      <c r="L88" s="1">
        <f t="shared" si="30"/>
        <v>0</v>
      </c>
      <c r="M88" s="1">
        <f t="shared" si="30"/>
        <v>0</v>
      </c>
      <c r="N88" s="1">
        <f t="shared" si="30"/>
        <v>0</v>
      </c>
      <c r="O88" s="1">
        <f t="shared" si="30"/>
        <v>470.25</v>
      </c>
      <c r="P88" s="1">
        <f t="shared" si="30"/>
        <v>6118711.7699999996</v>
      </c>
      <c r="Q88" s="1">
        <f t="shared" si="30"/>
        <v>0</v>
      </c>
      <c r="R88" s="1">
        <f t="shared" si="30"/>
        <v>0</v>
      </c>
      <c r="S88" s="1">
        <f t="shared" si="30"/>
        <v>0</v>
      </c>
      <c r="T88" s="1">
        <f t="shared" si="30"/>
        <v>0</v>
      </c>
      <c r="U88" s="1">
        <f t="shared" si="30"/>
        <v>0</v>
      </c>
      <c r="V88" s="1">
        <f t="shared" si="30"/>
        <v>0</v>
      </c>
      <c r="W88" s="1">
        <f t="shared" si="30"/>
        <v>0</v>
      </c>
      <c r="X88" s="1">
        <f t="shared" si="30"/>
        <v>0</v>
      </c>
      <c r="Y88" s="1">
        <f t="shared" si="30"/>
        <v>0</v>
      </c>
      <c r="Z88" s="1">
        <f t="shared" si="30"/>
        <v>479241.18</v>
      </c>
      <c r="AA88" s="1">
        <f t="shared" si="30"/>
        <v>0</v>
      </c>
    </row>
    <row r="89" spans="1:27" s="75" customFormat="1" ht="25.5" customHeight="1">
      <c r="A89" s="76">
        <v>65</v>
      </c>
      <c r="B89" s="121" t="s">
        <v>672</v>
      </c>
      <c r="C89" s="1">
        <f>D89+L89+N89+P89+R89+T89+V89+X89+Y89+Z89+AA89</f>
        <v>6597952.9499999993</v>
      </c>
      <c r="D89" s="1">
        <f>E89+F89+G89+H89+I89+J89</f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3">
        <v>470.25</v>
      </c>
      <c r="P89" s="63">
        <v>6118711.7699999996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1">
        <v>479241.18</v>
      </c>
      <c r="AA89" s="2"/>
    </row>
    <row r="90" spans="1:27" s="75" customFormat="1" ht="25.5" customHeight="1">
      <c r="A90" s="158" t="s">
        <v>233</v>
      </c>
      <c r="B90" s="160"/>
      <c r="C90" s="1">
        <f>SUM(C91:C109)</f>
        <v>242523995.75</v>
      </c>
      <c r="D90" s="1">
        <f>E90+F90+G90+H90+I90+J90</f>
        <v>0</v>
      </c>
      <c r="E90" s="1">
        <f t="shared" ref="E90:AA90" si="31">SUM(E91:E109)</f>
        <v>0</v>
      </c>
      <c r="F90" s="1">
        <f t="shared" si="31"/>
        <v>0</v>
      </c>
      <c r="G90" s="1">
        <f t="shared" si="31"/>
        <v>0</v>
      </c>
      <c r="H90" s="1">
        <f t="shared" si="31"/>
        <v>0</v>
      </c>
      <c r="I90" s="1">
        <f t="shared" si="31"/>
        <v>0</v>
      </c>
      <c r="J90" s="1">
        <f t="shared" si="31"/>
        <v>0</v>
      </c>
      <c r="K90" s="1">
        <f t="shared" si="31"/>
        <v>0</v>
      </c>
      <c r="L90" s="1">
        <f t="shared" si="31"/>
        <v>0</v>
      </c>
      <c r="M90" s="16">
        <f t="shared" si="31"/>
        <v>8</v>
      </c>
      <c r="N90" s="1">
        <f t="shared" si="31"/>
        <v>43488033.399999999</v>
      </c>
      <c r="O90" s="1">
        <f t="shared" si="31"/>
        <v>11541.14</v>
      </c>
      <c r="P90" s="1">
        <f t="shared" si="31"/>
        <v>102418536.50000001</v>
      </c>
      <c r="Q90" s="1">
        <f t="shared" si="31"/>
        <v>0</v>
      </c>
      <c r="R90" s="1">
        <f t="shared" si="31"/>
        <v>0</v>
      </c>
      <c r="S90" s="1">
        <f t="shared" si="31"/>
        <v>9000.64</v>
      </c>
      <c r="T90" s="1">
        <f t="shared" si="31"/>
        <v>59324066.109999992</v>
      </c>
      <c r="U90" s="1">
        <f>SUM(U91:U109)</f>
        <v>1508.6399999999999</v>
      </c>
      <c r="V90" s="1">
        <f>SUM(V91:V109)</f>
        <v>17472547.379999999</v>
      </c>
      <c r="W90" s="1">
        <f t="shared" si="31"/>
        <v>70.069999999999993</v>
      </c>
      <c r="X90" s="1">
        <f t="shared" si="31"/>
        <v>2377837.35</v>
      </c>
      <c r="Y90" s="1">
        <f t="shared" si="31"/>
        <v>0</v>
      </c>
      <c r="Z90" s="1">
        <f t="shared" si="31"/>
        <v>17442975.009999998</v>
      </c>
      <c r="AA90" s="1">
        <f t="shared" si="31"/>
        <v>0</v>
      </c>
    </row>
    <row r="91" spans="1:27" s="75" customFormat="1" ht="25.5" customHeight="1">
      <c r="A91" s="76">
        <v>66</v>
      </c>
      <c r="B91" s="121" t="s">
        <v>673</v>
      </c>
      <c r="C91" s="8">
        <f>SUM(D91+L91+N91+P91+R91+T91+V91+X91+Y91+Z91+AA91)</f>
        <v>7295012.7599999998</v>
      </c>
      <c r="D91" s="1">
        <f>E91+F91+G91+H91+I91+J91</f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5">
        <v>0</v>
      </c>
      <c r="L91" s="1">
        <v>0</v>
      </c>
      <c r="M91" s="15">
        <v>0</v>
      </c>
      <c r="N91" s="1">
        <v>0</v>
      </c>
      <c r="O91" s="2">
        <v>840</v>
      </c>
      <c r="P91" s="8">
        <v>6765140.7599999998</v>
      </c>
      <c r="Q91" s="1">
        <v>0</v>
      </c>
      <c r="R91" s="1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8">
        <v>529872</v>
      </c>
      <c r="AA91" s="1">
        <v>0</v>
      </c>
    </row>
    <row r="92" spans="1:27" s="75" customFormat="1" ht="25.5" customHeight="1">
      <c r="A92" s="76">
        <v>67</v>
      </c>
      <c r="B92" s="121" t="s">
        <v>674</v>
      </c>
      <c r="C92" s="8">
        <f t="shared" ref="C92:C105" si="32">SUM(D92+L92+N92+P92+R92+T92+V92+X92+Y92+Z92+AA92)</f>
        <v>13425582.810000001</v>
      </c>
      <c r="D92" s="1">
        <f t="shared" ref="D92:D109" si="33">E92+F92+G92+H92+I92+J92</f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5">
        <v>0</v>
      </c>
      <c r="L92" s="1">
        <v>0</v>
      </c>
      <c r="M92" s="15">
        <v>0</v>
      </c>
      <c r="N92" s="1">
        <v>0</v>
      </c>
      <c r="O92" s="2">
        <v>1022.7</v>
      </c>
      <c r="P92" s="8">
        <v>12450417.91</v>
      </c>
      <c r="Q92" s="1">
        <v>0</v>
      </c>
      <c r="R92" s="1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8">
        <v>975164.9</v>
      </c>
      <c r="AA92" s="1">
        <v>0</v>
      </c>
    </row>
    <row r="93" spans="1:27" s="75" customFormat="1" ht="25.5" customHeight="1">
      <c r="A93" s="76">
        <v>68</v>
      </c>
      <c r="B93" s="121" t="s">
        <v>675</v>
      </c>
      <c r="C93" s="8">
        <f t="shared" si="32"/>
        <v>8898526.040000001</v>
      </c>
      <c r="D93" s="1">
        <f t="shared" si="33"/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5">
        <v>0</v>
      </c>
      <c r="L93" s="1">
        <v>0</v>
      </c>
      <c r="M93" s="15">
        <v>0</v>
      </c>
      <c r="N93" s="1">
        <v>0</v>
      </c>
      <c r="O93" s="2">
        <v>1024.6400000000001</v>
      </c>
      <c r="P93" s="8">
        <v>8252183.1300000008</v>
      </c>
      <c r="Q93" s="1">
        <v>0</v>
      </c>
      <c r="R93" s="1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8">
        <v>646342.91</v>
      </c>
      <c r="AA93" s="1">
        <v>0</v>
      </c>
    </row>
    <row r="94" spans="1:27" s="75" customFormat="1" ht="25.5" customHeight="1">
      <c r="A94" s="76">
        <v>69</v>
      </c>
      <c r="B94" s="121" t="s">
        <v>845</v>
      </c>
      <c r="C94" s="8">
        <f t="shared" si="32"/>
        <v>23108834.880000003</v>
      </c>
      <c r="D94" s="1">
        <f t="shared" si="33"/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5">
        <v>0</v>
      </c>
      <c r="L94" s="1">
        <v>0</v>
      </c>
      <c r="M94" s="15">
        <v>0</v>
      </c>
      <c r="N94" s="1">
        <v>0</v>
      </c>
      <c r="O94" s="2">
        <v>0</v>
      </c>
      <c r="P94" s="29">
        <v>0</v>
      </c>
      <c r="Q94" s="1">
        <v>0</v>
      </c>
      <c r="R94" s="1">
        <v>0</v>
      </c>
      <c r="S94" s="8">
        <v>2759.4</v>
      </c>
      <c r="T94" s="8">
        <v>18187465.34</v>
      </c>
      <c r="U94" s="8">
        <v>280</v>
      </c>
      <c r="V94" s="8">
        <v>3242863.28</v>
      </c>
      <c r="W94" s="2">
        <v>0</v>
      </c>
      <c r="X94" s="2">
        <v>0</v>
      </c>
      <c r="Y94" s="2">
        <v>0</v>
      </c>
      <c r="Z94" s="29">
        <v>1678506.26</v>
      </c>
      <c r="AA94" s="1">
        <v>0</v>
      </c>
    </row>
    <row r="95" spans="1:27" s="75" customFormat="1" ht="25.5" customHeight="1">
      <c r="A95" s="76">
        <v>70</v>
      </c>
      <c r="B95" s="121" t="s">
        <v>677</v>
      </c>
      <c r="C95" s="8">
        <f t="shared" si="32"/>
        <v>11405405.07</v>
      </c>
      <c r="D95" s="1">
        <f t="shared" si="33"/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5">
        <v>0</v>
      </c>
      <c r="L95" s="1">
        <v>0</v>
      </c>
      <c r="M95" s="15">
        <v>0</v>
      </c>
      <c r="N95" s="1">
        <v>0</v>
      </c>
      <c r="O95" s="8">
        <v>1313.3</v>
      </c>
      <c r="P95" s="8">
        <v>10576975.43</v>
      </c>
      <c r="Q95" s="1">
        <v>0</v>
      </c>
      <c r="R95" s="1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8">
        <v>828429.64</v>
      </c>
      <c r="AA95" s="1">
        <v>0</v>
      </c>
    </row>
    <row r="96" spans="1:27" s="75" customFormat="1" ht="25.5" customHeight="1">
      <c r="A96" s="76">
        <v>71</v>
      </c>
      <c r="B96" s="21" t="s">
        <v>482</v>
      </c>
      <c r="C96" s="8">
        <f t="shared" si="32"/>
        <v>10556057.15</v>
      </c>
      <c r="D96" s="1">
        <f t="shared" si="33"/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5">
        <v>0</v>
      </c>
      <c r="L96" s="1">
        <v>0</v>
      </c>
      <c r="M96" s="15">
        <v>0</v>
      </c>
      <c r="N96" s="1">
        <v>0</v>
      </c>
      <c r="O96" s="8">
        <v>1215.5</v>
      </c>
      <c r="P96" s="8">
        <v>9789319.75</v>
      </c>
      <c r="Q96" s="1">
        <v>0</v>
      </c>
      <c r="R96" s="1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8">
        <v>766737.4</v>
      </c>
      <c r="AA96" s="1">
        <v>0</v>
      </c>
    </row>
    <row r="97" spans="1:27" s="75" customFormat="1" ht="25.5" customHeight="1">
      <c r="A97" s="76">
        <v>72</v>
      </c>
      <c r="B97" s="21" t="s">
        <v>626</v>
      </c>
      <c r="C97" s="8">
        <f>SUM(D97+L97+N97+P97+R97+T97+V97+X97+Y97+Z97+AA97)</f>
        <v>8354526.5199999996</v>
      </c>
      <c r="D97" s="1">
        <f t="shared" si="33"/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5">
        <v>0</v>
      </c>
      <c r="L97" s="1">
        <v>0</v>
      </c>
      <c r="M97" s="15">
        <v>0</v>
      </c>
      <c r="N97" s="1">
        <v>0</v>
      </c>
      <c r="O97" s="8">
        <v>962</v>
      </c>
      <c r="P97" s="8">
        <v>7747696.9199999999</v>
      </c>
      <c r="Q97" s="1">
        <v>0</v>
      </c>
      <c r="R97" s="1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8">
        <v>606829.6</v>
      </c>
      <c r="AA97" s="1">
        <v>0</v>
      </c>
    </row>
    <row r="98" spans="1:27" s="75" customFormat="1" ht="25.5" customHeight="1">
      <c r="A98" s="76">
        <v>73</v>
      </c>
      <c r="B98" s="21" t="s">
        <v>483</v>
      </c>
      <c r="C98" s="8">
        <f t="shared" si="32"/>
        <v>2377837.35</v>
      </c>
      <c r="D98" s="1">
        <f t="shared" si="33"/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5">
        <v>0</v>
      </c>
      <c r="L98" s="1">
        <v>0</v>
      </c>
      <c r="M98" s="15">
        <v>0</v>
      </c>
      <c r="N98" s="1">
        <v>0</v>
      </c>
      <c r="O98" s="8">
        <v>0</v>
      </c>
      <c r="P98" s="8">
        <v>0</v>
      </c>
      <c r="Q98" s="1">
        <v>0</v>
      </c>
      <c r="R98" s="1">
        <v>0</v>
      </c>
      <c r="S98" s="2">
        <v>0</v>
      </c>
      <c r="T98" s="2">
        <v>0</v>
      </c>
      <c r="U98" s="2">
        <v>0</v>
      </c>
      <c r="V98" s="2">
        <v>0</v>
      </c>
      <c r="W98" s="1">
        <v>70.069999999999993</v>
      </c>
      <c r="X98" s="1">
        <v>2377837.35</v>
      </c>
      <c r="Y98" s="2">
        <v>0</v>
      </c>
      <c r="Z98" s="2">
        <v>0</v>
      </c>
      <c r="AA98" s="1">
        <v>0</v>
      </c>
    </row>
    <row r="99" spans="1:27" s="75" customFormat="1" ht="25.5" customHeight="1">
      <c r="A99" s="76">
        <v>74</v>
      </c>
      <c r="B99" s="124" t="s">
        <v>484</v>
      </c>
      <c r="C99" s="8">
        <f t="shared" si="32"/>
        <v>12002032.9</v>
      </c>
      <c r="D99" s="1">
        <f t="shared" si="33"/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5">
        <v>0</v>
      </c>
      <c r="L99" s="1">
        <v>0</v>
      </c>
      <c r="M99" s="15">
        <v>0</v>
      </c>
      <c r="N99" s="1">
        <v>0</v>
      </c>
      <c r="O99" s="8">
        <v>1382</v>
      </c>
      <c r="P99" s="8">
        <v>11130267.300000001</v>
      </c>
      <c r="Q99" s="1">
        <v>0</v>
      </c>
      <c r="R99" s="1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8">
        <v>871765.6</v>
      </c>
      <c r="AA99" s="1">
        <v>0</v>
      </c>
    </row>
    <row r="100" spans="1:27" s="75" customFormat="1" ht="25.5" customHeight="1">
      <c r="A100" s="76">
        <v>75</v>
      </c>
      <c r="B100" s="21" t="s">
        <v>234</v>
      </c>
      <c r="C100" s="8">
        <f t="shared" si="32"/>
        <v>19136537.129999999</v>
      </c>
      <c r="D100" s="1">
        <f t="shared" si="33"/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5">
        <v>0</v>
      </c>
      <c r="L100" s="1">
        <v>0</v>
      </c>
      <c r="M100" s="15">
        <v>0</v>
      </c>
      <c r="N100" s="1">
        <v>0</v>
      </c>
      <c r="O100" s="8">
        <v>0</v>
      </c>
      <c r="P100" s="8">
        <v>0</v>
      </c>
      <c r="Q100" s="1">
        <v>0</v>
      </c>
      <c r="R100" s="1">
        <v>0</v>
      </c>
      <c r="S100" s="8">
        <v>1999.76</v>
      </c>
      <c r="T100" s="8">
        <v>13180606.539999999</v>
      </c>
      <c r="U100" s="8">
        <v>394.24</v>
      </c>
      <c r="V100" s="8">
        <v>4565951.5</v>
      </c>
      <c r="W100" s="2">
        <v>0</v>
      </c>
      <c r="X100" s="2">
        <v>0</v>
      </c>
      <c r="Y100" s="2">
        <v>0</v>
      </c>
      <c r="Z100" s="8">
        <v>1389979.09</v>
      </c>
      <c r="AA100" s="1">
        <v>0</v>
      </c>
    </row>
    <row r="101" spans="1:27" s="75" customFormat="1" ht="25.5" customHeight="1">
      <c r="A101" s="76">
        <v>76</v>
      </c>
      <c r="B101" s="21" t="s">
        <v>235</v>
      </c>
      <c r="C101" s="8">
        <f t="shared" si="32"/>
        <v>19613591.990000002</v>
      </c>
      <c r="D101" s="1">
        <f t="shared" si="33"/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5">
        <v>0</v>
      </c>
      <c r="L101" s="1">
        <v>0</v>
      </c>
      <c r="M101" s="15">
        <v>0</v>
      </c>
      <c r="N101" s="1">
        <v>0</v>
      </c>
      <c r="O101" s="8">
        <v>0</v>
      </c>
      <c r="P101" s="8">
        <v>0</v>
      </c>
      <c r="Q101" s="1">
        <v>0</v>
      </c>
      <c r="R101" s="1">
        <v>0</v>
      </c>
      <c r="S101" s="8">
        <v>2042</v>
      </c>
      <c r="T101" s="8">
        <v>13459014.359999999</v>
      </c>
      <c r="U101" s="8">
        <v>408.4</v>
      </c>
      <c r="V101" s="8">
        <v>4729947.74</v>
      </c>
      <c r="W101" s="2">
        <v>0</v>
      </c>
      <c r="X101" s="2">
        <v>0</v>
      </c>
      <c r="Y101" s="2">
        <v>0</v>
      </c>
      <c r="Z101" s="8">
        <v>1424629.89</v>
      </c>
      <c r="AA101" s="1">
        <v>0</v>
      </c>
    </row>
    <row r="102" spans="1:27" s="75" customFormat="1" ht="25.5" customHeight="1">
      <c r="A102" s="76">
        <v>77</v>
      </c>
      <c r="B102" s="21" t="s">
        <v>236</v>
      </c>
      <c r="C102" s="8">
        <f t="shared" si="32"/>
        <v>14872578.68</v>
      </c>
      <c r="D102" s="1">
        <f t="shared" si="33"/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5">
        <v>0</v>
      </c>
      <c r="L102" s="1">
        <v>0</v>
      </c>
      <c r="M102" s="15">
        <v>0</v>
      </c>
      <c r="N102" s="1">
        <v>0</v>
      </c>
      <c r="O102" s="8">
        <v>1060</v>
      </c>
      <c r="P102" s="8">
        <v>13792311.48</v>
      </c>
      <c r="Q102" s="1">
        <v>0</v>
      </c>
      <c r="R102" s="1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8">
        <v>1080267.2</v>
      </c>
      <c r="AA102" s="1">
        <v>0</v>
      </c>
    </row>
    <row r="103" spans="1:27" s="75" customFormat="1" ht="25.5" customHeight="1">
      <c r="A103" s="76">
        <v>78</v>
      </c>
      <c r="B103" s="21" t="s">
        <v>237</v>
      </c>
      <c r="C103" s="8">
        <f t="shared" si="32"/>
        <v>5566789.5</v>
      </c>
      <c r="D103" s="1">
        <f t="shared" si="33"/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5">
        <v>0</v>
      </c>
      <c r="L103" s="1">
        <v>0</v>
      </c>
      <c r="M103" s="15">
        <v>0</v>
      </c>
      <c r="N103" s="1">
        <v>0</v>
      </c>
      <c r="O103" s="8">
        <v>641</v>
      </c>
      <c r="P103" s="8">
        <v>5162446.7</v>
      </c>
      <c r="Q103" s="1">
        <v>0</v>
      </c>
      <c r="R103" s="1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8">
        <v>404342.8</v>
      </c>
      <c r="AA103" s="1">
        <v>0</v>
      </c>
    </row>
    <row r="104" spans="1:27" s="75" customFormat="1" ht="25.5" customHeight="1">
      <c r="A104" s="76">
        <v>79</v>
      </c>
      <c r="B104" s="21" t="s">
        <v>238</v>
      </c>
      <c r="C104" s="8">
        <f t="shared" si="32"/>
        <v>20952657.41</v>
      </c>
      <c r="D104" s="1">
        <f t="shared" si="33"/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5">
        <v>0</v>
      </c>
      <c r="L104" s="1">
        <v>0</v>
      </c>
      <c r="M104" s="15">
        <v>0</v>
      </c>
      <c r="N104" s="1">
        <v>0</v>
      </c>
      <c r="O104" s="2">
        <v>0</v>
      </c>
      <c r="P104" s="29">
        <v>0</v>
      </c>
      <c r="Q104" s="1">
        <v>0</v>
      </c>
      <c r="R104" s="1">
        <v>0</v>
      </c>
      <c r="S104" s="8">
        <v>2199.48</v>
      </c>
      <c r="T104" s="8">
        <v>14496979.869999999</v>
      </c>
      <c r="U104" s="8">
        <v>426</v>
      </c>
      <c r="V104" s="8">
        <v>4933784.8600000003</v>
      </c>
      <c r="W104" s="2">
        <v>0</v>
      </c>
      <c r="X104" s="2">
        <v>0</v>
      </c>
      <c r="Y104" s="2">
        <v>0</v>
      </c>
      <c r="Z104" s="29">
        <v>1521892.68</v>
      </c>
      <c r="AA104" s="1">
        <v>0</v>
      </c>
    </row>
    <row r="105" spans="1:27" s="75" customFormat="1" ht="25.5" customHeight="1">
      <c r="A105" s="76">
        <v>80</v>
      </c>
      <c r="B105" s="21" t="s">
        <v>239</v>
      </c>
      <c r="C105" s="8">
        <f t="shared" si="32"/>
        <v>8858229.7800000012</v>
      </c>
      <c r="D105" s="1">
        <f t="shared" si="33"/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5">
        <v>0</v>
      </c>
      <c r="L105" s="1">
        <v>0</v>
      </c>
      <c r="M105" s="15">
        <v>0</v>
      </c>
      <c r="N105" s="1">
        <v>0</v>
      </c>
      <c r="O105" s="8">
        <v>1020</v>
      </c>
      <c r="P105" s="8">
        <v>8214813.7800000003</v>
      </c>
      <c r="Q105" s="1">
        <v>0</v>
      </c>
      <c r="R105" s="1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8">
        <v>643416</v>
      </c>
      <c r="AA105" s="1">
        <v>0</v>
      </c>
    </row>
    <row r="106" spans="1:27" s="75" customFormat="1" ht="25.5" customHeight="1">
      <c r="A106" s="76">
        <v>81</v>
      </c>
      <c r="B106" s="21" t="s">
        <v>240</v>
      </c>
      <c r="C106" s="8">
        <f>SUM(D106+L106+P106+R106+T106+V106+X106+Y106+Z106+AA106)</f>
        <v>9205611.3399999999</v>
      </c>
      <c r="D106" s="1">
        <f t="shared" si="33"/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5">
        <v>0</v>
      </c>
      <c r="L106" s="1">
        <v>0</v>
      </c>
      <c r="M106" s="15">
        <v>0</v>
      </c>
      <c r="N106" s="1">
        <v>0</v>
      </c>
      <c r="O106" s="8">
        <v>1060</v>
      </c>
      <c r="P106" s="8">
        <v>8536963.3399999999</v>
      </c>
      <c r="Q106" s="1">
        <v>0</v>
      </c>
      <c r="R106" s="1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8">
        <v>668648</v>
      </c>
      <c r="AA106" s="1">
        <v>0</v>
      </c>
    </row>
    <row r="107" spans="1:27" s="75" customFormat="1" ht="25.5" customHeight="1">
      <c r="A107" s="76">
        <v>82</v>
      </c>
      <c r="B107" s="21" t="s">
        <v>241</v>
      </c>
      <c r="C107" s="1">
        <f>SUM(Z107+N107+P107+R107+T107+V107+X107+Y107+AA107)</f>
        <v>23447092.219999999</v>
      </c>
      <c r="D107" s="1">
        <f t="shared" si="33"/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5">
        <v>0</v>
      </c>
      <c r="L107" s="1">
        <v>0</v>
      </c>
      <c r="M107" s="15">
        <v>4</v>
      </c>
      <c r="N107" s="8">
        <v>21744016.699999999</v>
      </c>
      <c r="O107" s="2">
        <v>0</v>
      </c>
      <c r="P107" s="29">
        <v>0</v>
      </c>
      <c r="Q107" s="1">
        <v>0</v>
      </c>
      <c r="R107" s="1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8">
        <v>1703075.52</v>
      </c>
      <c r="AA107" s="1">
        <v>0</v>
      </c>
    </row>
    <row r="108" spans="1:27" s="75" customFormat="1" ht="25.5" customHeight="1">
      <c r="A108" s="76">
        <v>83</v>
      </c>
      <c r="B108" s="21" t="s">
        <v>242</v>
      </c>
      <c r="C108" s="1">
        <f>SUM(N108+Z108)</f>
        <v>11723546.109999999</v>
      </c>
      <c r="D108" s="1">
        <f t="shared" si="33"/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5">
        <v>0</v>
      </c>
      <c r="L108" s="1">
        <v>0</v>
      </c>
      <c r="M108" s="15">
        <v>2</v>
      </c>
      <c r="N108" s="8">
        <v>10872008.35</v>
      </c>
      <c r="O108" s="2">
        <v>0</v>
      </c>
      <c r="P108" s="29">
        <v>0</v>
      </c>
      <c r="Q108" s="1">
        <v>0</v>
      </c>
      <c r="R108" s="1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8">
        <v>851537.76</v>
      </c>
      <c r="AA108" s="1">
        <v>0</v>
      </c>
    </row>
    <row r="109" spans="1:27" s="75" customFormat="1" ht="25.5" customHeight="1">
      <c r="A109" s="76">
        <v>84</v>
      </c>
      <c r="B109" s="21" t="s">
        <v>243</v>
      </c>
      <c r="C109" s="1">
        <f>SUM(D109+N109+Z109)</f>
        <v>11723546.109999999</v>
      </c>
      <c r="D109" s="1">
        <f t="shared" si="33"/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5">
        <v>0</v>
      </c>
      <c r="L109" s="1">
        <v>0</v>
      </c>
      <c r="M109" s="15">
        <v>2</v>
      </c>
      <c r="N109" s="8">
        <v>10872008.35</v>
      </c>
      <c r="O109" s="2">
        <v>0</v>
      </c>
      <c r="P109" s="29">
        <v>0</v>
      </c>
      <c r="Q109" s="1">
        <v>0</v>
      </c>
      <c r="R109" s="1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8">
        <v>851537.76</v>
      </c>
      <c r="AA109" s="1">
        <v>0</v>
      </c>
    </row>
    <row r="110" spans="1:27" s="75" customFormat="1" ht="25.5" customHeight="1">
      <c r="A110" s="158" t="s">
        <v>97</v>
      </c>
      <c r="B110" s="160"/>
      <c r="C110" s="1">
        <f>SUM(C111:C113)</f>
        <v>16733306.42</v>
      </c>
      <c r="D110" s="1">
        <f t="shared" ref="D110:AA110" si="34">SUM(D111:D113)</f>
        <v>0</v>
      </c>
      <c r="E110" s="1">
        <f t="shared" si="34"/>
        <v>0</v>
      </c>
      <c r="F110" s="1">
        <f t="shared" si="34"/>
        <v>0</v>
      </c>
      <c r="G110" s="1">
        <f t="shared" si="34"/>
        <v>0</v>
      </c>
      <c r="H110" s="1">
        <f t="shared" si="34"/>
        <v>0</v>
      </c>
      <c r="I110" s="1">
        <f t="shared" si="34"/>
        <v>0</v>
      </c>
      <c r="J110" s="1">
        <f t="shared" si="34"/>
        <v>0</v>
      </c>
      <c r="K110" s="1">
        <f t="shared" si="34"/>
        <v>0</v>
      </c>
      <c r="L110" s="1">
        <f t="shared" si="34"/>
        <v>0</v>
      </c>
      <c r="M110" s="1">
        <f t="shared" si="34"/>
        <v>0</v>
      </c>
      <c r="N110" s="1">
        <f t="shared" si="34"/>
        <v>0</v>
      </c>
      <c r="O110" s="1">
        <f t="shared" si="34"/>
        <v>1528.5</v>
      </c>
      <c r="P110" s="1">
        <f t="shared" si="34"/>
        <v>15517885.579999998</v>
      </c>
      <c r="Q110" s="1">
        <f t="shared" si="34"/>
        <v>0</v>
      </c>
      <c r="R110" s="1">
        <f t="shared" si="34"/>
        <v>0</v>
      </c>
      <c r="S110" s="1">
        <f t="shared" si="34"/>
        <v>0</v>
      </c>
      <c r="T110" s="1">
        <f t="shared" si="34"/>
        <v>0</v>
      </c>
      <c r="U110" s="1">
        <f t="shared" si="34"/>
        <v>0</v>
      </c>
      <c r="V110" s="1">
        <f t="shared" si="34"/>
        <v>0</v>
      </c>
      <c r="W110" s="1">
        <f t="shared" si="34"/>
        <v>0</v>
      </c>
      <c r="X110" s="1">
        <f t="shared" si="34"/>
        <v>0</v>
      </c>
      <c r="Y110" s="1">
        <f t="shared" si="34"/>
        <v>0</v>
      </c>
      <c r="Z110" s="1">
        <f t="shared" si="34"/>
        <v>1215420.8399999999</v>
      </c>
      <c r="AA110" s="1">
        <f t="shared" si="34"/>
        <v>0</v>
      </c>
    </row>
    <row r="111" spans="1:27" s="75" customFormat="1" ht="25.5" customHeight="1">
      <c r="A111" s="120">
        <v>85</v>
      </c>
      <c r="B111" s="121" t="s">
        <v>102</v>
      </c>
      <c r="C111" s="8">
        <f t="shared" ref="C111:C118" si="35">D111+Z111+P111+T111+L111</f>
        <v>5429894.29</v>
      </c>
      <c r="D111" s="8">
        <f t="shared" ref="D111:D116" si="36">E111+F111+G111+H111+I111+J111</f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8">
        <v>387</v>
      </c>
      <c r="P111" s="8">
        <v>5035494.8499999996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8">
        <v>394399.44</v>
      </c>
      <c r="AA111" s="2">
        <v>0</v>
      </c>
    </row>
    <row r="112" spans="1:27" s="75" customFormat="1" ht="25.5" customHeight="1">
      <c r="A112" s="120">
        <v>86</v>
      </c>
      <c r="B112" s="7" t="s">
        <v>486</v>
      </c>
      <c r="C112" s="8">
        <f t="shared" si="35"/>
        <v>7655421.1299999999</v>
      </c>
      <c r="D112" s="8">
        <f t="shared" si="36"/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8">
        <v>881.5</v>
      </c>
      <c r="P112" s="8">
        <v>7099370.9299999997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8">
        <v>556050.19999999995</v>
      </c>
      <c r="AA112" s="2">
        <v>0</v>
      </c>
    </row>
    <row r="113" spans="1:27" s="75" customFormat="1" ht="25.5" customHeight="1">
      <c r="A113" s="120">
        <v>87</v>
      </c>
      <c r="B113" s="7" t="s">
        <v>96</v>
      </c>
      <c r="C113" s="8">
        <f t="shared" si="35"/>
        <v>3647991</v>
      </c>
      <c r="D113" s="8">
        <f t="shared" si="36"/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1">
        <v>260</v>
      </c>
      <c r="P113" s="1">
        <v>3383019.8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5">
        <v>264971.2</v>
      </c>
      <c r="AA113" s="2">
        <v>0</v>
      </c>
    </row>
    <row r="114" spans="1:27" s="75" customFormat="1" ht="25.5" customHeight="1">
      <c r="A114" s="158" t="s">
        <v>200</v>
      </c>
      <c r="B114" s="160"/>
      <c r="C114" s="8">
        <f>C115+C116</f>
        <v>12212351.4</v>
      </c>
      <c r="D114" s="8">
        <f t="shared" ref="D114:AA114" si="37">D115+D116</f>
        <v>0</v>
      </c>
      <c r="E114" s="8">
        <f t="shared" si="37"/>
        <v>0</v>
      </c>
      <c r="F114" s="8">
        <f t="shared" si="37"/>
        <v>0</v>
      </c>
      <c r="G114" s="8">
        <f t="shared" si="37"/>
        <v>0</v>
      </c>
      <c r="H114" s="8">
        <f t="shared" si="37"/>
        <v>0</v>
      </c>
      <c r="I114" s="8">
        <f t="shared" si="37"/>
        <v>0</v>
      </c>
      <c r="J114" s="8">
        <f t="shared" si="37"/>
        <v>0</v>
      </c>
      <c r="K114" s="8">
        <f t="shared" si="37"/>
        <v>0</v>
      </c>
      <c r="L114" s="8">
        <f t="shared" si="37"/>
        <v>0</v>
      </c>
      <c r="M114" s="8">
        <f t="shared" si="37"/>
        <v>0</v>
      </c>
      <c r="N114" s="8">
        <f t="shared" si="37"/>
        <v>0</v>
      </c>
      <c r="O114" s="8">
        <f t="shared" si="37"/>
        <v>870.40000000000009</v>
      </c>
      <c r="P114" s="8">
        <f t="shared" si="37"/>
        <v>11325309.35</v>
      </c>
      <c r="Q114" s="8">
        <f t="shared" si="37"/>
        <v>0</v>
      </c>
      <c r="R114" s="8">
        <f t="shared" si="37"/>
        <v>0</v>
      </c>
      <c r="S114" s="8">
        <f t="shared" si="37"/>
        <v>0</v>
      </c>
      <c r="T114" s="8">
        <f t="shared" si="37"/>
        <v>0</v>
      </c>
      <c r="U114" s="8">
        <f t="shared" si="37"/>
        <v>0</v>
      </c>
      <c r="V114" s="8">
        <f t="shared" si="37"/>
        <v>0</v>
      </c>
      <c r="W114" s="8">
        <f t="shared" si="37"/>
        <v>0</v>
      </c>
      <c r="X114" s="8">
        <f t="shared" si="37"/>
        <v>0</v>
      </c>
      <c r="Y114" s="8">
        <f t="shared" si="37"/>
        <v>0</v>
      </c>
      <c r="Z114" s="8">
        <f t="shared" si="37"/>
        <v>887042.05</v>
      </c>
      <c r="AA114" s="8">
        <f t="shared" si="37"/>
        <v>0</v>
      </c>
    </row>
    <row r="115" spans="1:27" s="75" customFormat="1" ht="25.5" customHeight="1">
      <c r="A115" s="76">
        <v>88</v>
      </c>
      <c r="B115" s="7" t="s">
        <v>487</v>
      </c>
      <c r="C115" s="8">
        <f t="shared" si="35"/>
        <v>7093939.4100000001</v>
      </c>
      <c r="D115" s="8">
        <f t="shared" si="36"/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1">
        <v>505.6</v>
      </c>
      <c r="P115" s="1">
        <v>6578672.3399999999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5">
        <v>515267.07</v>
      </c>
      <c r="AA115" s="2">
        <v>0</v>
      </c>
    </row>
    <row r="116" spans="1:27" s="75" customFormat="1" ht="25.5" customHeight="1">
      <c r="A116" s="76">
        <v>89</v>
      </c>
      <c r="B116" s="7" t="s">
        <v>488</v>
      </c>
      <c r="C116" s="8">
        <f t="shared" si="35"/>
        <v>5118411.99</v>
      </c>
      <c r="D116" s="8">
        <f t="shared" si="36"/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1">
        <v>364.8</v>
      </c>
      <c r="P116" s="1">
        <v>4746637.01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5">
        <v>371774.98</v>
      </c>
      <c r="AA116" s="2">
        <v>0</v>
      </c>
    </row>
    <row r="117" spans="1:27" s="75" customFormat="1" ht="25.5" customHeight="1">
      <c r="A117" s="158" t="s">
        <v>128</v>
      </c>
      <c r="B117" s="160"/>
      <c r="C117" s="8">
        <f>C118</f>
        <v>3248017.5900000003</v>
      </c>
      <c r="D117" s="8">
        <f t="shared" ref="D117:K117" si="38">D118</f>
        <v>0</v>
      </c>
      <c r="E117" s="8">
        <f t="shared" si="38"/>
        <v>0</v>
      </c>
      <c r="F117" s="8">
        <f t="shared" si="38"/>
        <v>0</v>
      </c>
      <c r="G117" s="8">
        <f t="shared" si="38"/>
        <v>0</v>
      </c>
      <c r="H117" s="8">
        <f t="shared" si="38"/>
        <v>0</v>
      </c>
      <c r="I117" s="8">
        <f t="shared" si="38"/>
        <v>0</v>
      </c>
      <c r="J117" s="8">
        <f t="shared" si="38"/>
        <v>0</v>
      </c>
      <c r="K117" s="8">
        <f t="shared" si="38"/>
        <v>0</v>
      </c>
      <c r="L117" s="8">
        <f t="shared" ref="L117" si="39">L118</f>
        <v>0</v>
      </c>
      <c r="M117" s="8">
        <f t="shared" ref="M117" si="40">M118</f>
        <v>0</v>
      </c>
      <c r="N117" s="8">
        <f t="shared" ref="N117" si="41">N118</f>
        <v>0</v>
      </c>
      <c r="O117" s="8">
        <f t="shared" ref="O117" si="42">O118</f>
        <v>374</v>
      </c>
      <c r="P117" s="8">
        <f t="shared" ref="P117" si="43">P118</f>
        <v>3012098.39</v>
      </c>
      <c r="Q117" s="8">
        <f t="shared" ref="Q117" si="44">Q118</f>
        <v>0</v>
      </c>
      <c r="R117" s="8">
        <f t="shared" ref="R117:S117" si="45">R118</f>
        <v>0</v>
      </c>
      <c r="S117" s="8">
        <f t="shared" si="45"/>
        <v>0</v>
      </c>
      <c r="T117" s="8">
        <f t="shared" ref="T117" si="46">T118</f>
        <v>0</v>
      </c>
      <c r="U117" s="8">
        <f t="shared" ref="U117" si="47">U118</f>
        <v>0</v>
      </c>
      <c r="V117" s="8">
        <f t="shared" ref="V117" si="48">V118</f>
        <v>0</v>
      </c>
      <c r="W117" s="8">
        <f t="shared" ref="W117" si="49">W118</f>
        <v>0</v>
      </c>
      <c r="X117" s="8">
        <f t="shared" ref="X117" si="50">X118</f>
        <v>0</v>
      </c>
      <c r="Y117" s="8">
        <f t="shared" ref="Y117" si="51">Y118</f>
        <v>0</v>
      </c>
      <c r="Z117" s="8">
        <f t="shared" ref="Z117:AA117" si="52">Z118</f>
        <v>235919.2</v>
      </c>
      <c r="AA117" s="8">
        <f t="shared" si="52"/>
        <v>0</v>
      </c>
    </row>
    <row r="118" spans="1:27" s="75" customFormat="1" ht="25.5" customHeight="1">
      <c r="A118" s="120">
        <v>90</v>
      </c>
      <c r="B118" s="121" t="s">
        <v>129</v>
      </c>
      <c r="C118" s="8">
        <f t="shared" si="35"/>
        <v>3248017.5900000003</v>
      </c>
      <c r="D118" s="8">
        <f t="shared" ref="D118" si="53">E118+F118+G118+H118+I118+J118</f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8">
        <v>0</v>
      </c>
      <c r="M118" s="3">
        <v>0</v>
      </c>
      <c r="N118" s="3">
        <v>0</v>
      </c>
      <c r="O118" s="8">
        <v>374</v>
      </c>
      <c r="P118" s="63">
        <v>3012098.39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5">
        <v>235919.2</v>
      </c>
      <c r="AA118" s="2">
        <v>0</v>
      </c>
    </row>
    <row r="119" spans="1:27" s="75" customFormat="1" ht="25.5" customHeight="1">
      <c r="A119" s="158" t="s">
        <v>204</v>
      </c>
      <c r="B119" s="160"/>
      <c r="C119" s="8">
        <f>SUM(C120:C133)</f>
        <v>8821430</v>
      </c>
      <c r="D119" s="8">
        <f t="shared" ref="D119:AA119" si="54">SUM(D120:D133)</f>
        <v>3067967</v>
      </c>
      <c r="E119" s="8">
        <f t="shared" si="54"/>
        <v>1128690</v>
      </c>
      <c r="F119" s="8">
        <f t="shared" si="54"/>
        <v>1181702</v>
      </c>
      <c r="G119" s="8">
        <f t="shared" si="54"/>
        <v>0</v>
      </c>
      <c r="H119" s="8">
        <f t="shared" si="54"/>
        <v>0</v>
      </c>
      <c r="I119" s="8">
        <f t="shared" si="54"/>
        <v>0</v>
      </c>
      <c r="J119" s="8">
        <f t="shared" si="54"/>
        <v>757575</v>
      </c>
      <c r="K119" s="8">
        <f t="shared" si="54"/>
        <v>0</v>
      </c>
      <c r="L119" s="8">
        <f t="shared" si="54"/>
        <v>0</v>
      </c>
      <c r="M119" s="8">
        <f t="shared" si="54"/>
        <v>0</v>
      </c>
      <c r="N119" s="8">
        <f t="shared" si="54"/>
        <v>0</v>
      </c>
      <c r="O119" s="8">
        <f t="shared" si="54"/>
        <v>2444.5</v>
      </c>
      <c r="P119" s="8">
        <f t="shared" si="54"/>
        <v>4317231</v>
      </c>
      <c r="Q119" s="8">
        <f t="shared" si="54"/>
        <v>0</v>
      </c>
      <c r="R119" s="8">
        <f t="shared" si="54"/>
        <v>0</v>
      </c>
      <c r="S119" s="8">
        <f t="shared" si="54"/>
        <v>0</v>
      </c>
      <c r="T119" s="8">
        <f t="shared" si="54"/>
        <v>362250</v>
      </c>
      <c r="U119" s="8">
        <f t="shared" si="54"/>
        <v>0</v>
      </c>
      <c r="V119" s="8">
        <f t="shared" si="54"/>
        <v>0</v>
      </c>
      <c r="W119" s="8">
        <f t="shared" si="54"/>
        <v>555.1</v>
      </c>
      <c r="X119" s="8">
        <f t="shared" si="54"/>
        <v>1073982</v>
      </c>
      <c r="Y119" s="8">
        <f t="shared" si="54"/>
        <v>0</v>
      </c>
      <c r="Z119" s="8">
        <f t="shared" si="54"/>
        <v>0</v>
      </c>
      <c r="AA119" s="8">
        <f t="shared" si="54"/>
        <v>0</v>
      </c>
    </row>
    <row r="120" spans="1:27" s="75" customFormat="1" ht="25.5" customHeight="1">
      <c r="A120" s="76">
        <v>91</v>
      </c>
      <c r="B120" s="155" t="s">
        <v>698</v>
      </c>
      <c r="C120" s="8">
        <f>D120+L120+N120+P120+R120+T120+V120+X120+Y120+Z120+AA120</f>
        <v>1128690</v>
      </c>
      <c r="D120" s="8">
        <f>E120+F120+G120+H120+I120+J120</f>
        <v>1128690</v>
      </c>
      <c r="E120" s="4">
        <v>1128690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</row>
    <row r="121" spans="1:27" s="75" customFormat="1" ht="25.5" customHeight="1">
      <c r="A121" s="76">
        <v>92</v>
      </c>
      <c r="B121" s="155" t="s">
        <v>699</v>
      </c>
      <c r="C121" s="8">
        <f t="shared" ref="C121:C133" si="55">D121+L121+N121+P121+R121+T121+V121+X121+Y121+Z121+AA121</f>
        <v>280644</v>
      </c>
      <c r="D121" s="8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133">
        <v>143.80000000000001</v>
      </c>
      <c r="X121" s="133">
        <v>280644</v>
      </c>
      <c r="Y121" s="2">
        <v>0</v>
      </c>
      <c r="Z121" s="2">
        <v>0</v>
      </c>
      <c r="AA121" s="2">
        <v>0</v>
      </c>
    </row>
    <row r="122" spans="1:27" s="75" customFormat="1" ht="25.5" customHeight="1">
      <c r="A122" s="76">
        <v>93</v>
      </c>
      <c r="B122" s="155" t="s">
        <v>700</v>
      </c>
      <c r="C122" s="8">
        <f t="shared" si="55"/>
        <v>478296</v>
      </c>
      <c r="D122" s="8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133">
        <v>249.3</v>
      </c>
      <c r="X122" s="133">
        <v>478296</v>
      </c>
      <c r="Y122" s="2">
        <v>0</v>
      </c>
      <c r="Z122" s="2">
        <v>0</v>
      </c>
      <c r="AA122" s="2">
        <v>0</v>
      </c>
    </row>
    <row r="123" spans="1:27" s="75" customFormat="1" ht="25.5" customHeight="1">
      <c r="A123" s="76">
        <v>94</v>
      </c>
      <c r="B123" s="155" t="s">
        <v>701</v>
      </c>
      <c r="C123" s="8">
        <f t="shared" si="55"/>
        <v>252000</v>
      </c>
      <c r="D123" s="8">
        <f t="shared" ref="D123:D133" si="56">E123+F123+G123+H123+I123+J123</f>
        <v>252000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8">
        <v>252000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</row>
    <row r="124" spans="1:27" s="75" customFormat="1" ht="25.5" customHeight="1">
      <c r="A124" s="76">
        <v>95</v>
      </c>
      <c r="B124" s="155" t="s">
        <v>702</v>
      </c>
      <c r="C124" s="8">
        <f t="shared" si="55"/>
        <v>169575</v>
      </c>
      <c r="D124" s="8">
        <f t="shared" si="56"/>
        <v>169575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8">
        <v>169575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</row>
    <row r="125" spans="1:27" s="75" customFormat="1" ht="25.5" customHeight="1">
      <c r="A125" s="76">
        <v>96</v>
      </c>
      <c r="B125" s="155" t="s">
        <v>703</v>
      </c>
      <c r="C125" s="8">
        <f t="shared" si="55"/>
        <v>315042</v>
      </c>
      <c r="D125" s="8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133">
        <v>162</v>
      </c>
      <c r="X125" s="133">
        <v>315042</v>
      </c>
      <c r="Y125" s="2">
        <v>0</v>
      </c>
      <c r="Z125" s="2">
        <v>0</v>
      </c>
      <c r="AA125" s="2">
        <v>0</v>
      </c>
    </row>
    <row r="126" spans="1:27" s="75" customFormat="1" ht="25.5" customHeight="1">
      <c r="A126" s="76">
        <v>97</v>
      </c>
      <c r="B126" s="155" t="s">
        <v>704</v>
      </c>
      <c r="C126" s="8">
        <f t="shared" si="55"/>
        <v>638232</v>
      </c>
      <c r="D126" s="8">
        <f t="shared" si="56"/>
        <v>638232</v>
      </c>
      <c r="E126" s="2">
        <v>0</v>
      </c>
      <c r="F126" s="8">
        <v>638232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</row>
    <row r="127" spans="1:27" s="75" customFormat="1" ht="25.5" customHeight="1">
      <c r="A127" s="76">
        <v>98</v>
      </c>
      <c r="B127" s="155" t="s">
        <v>705</v>
      </c>
      <c r="C127" s="8">
        <f t="shared" si="55"/>
        <v>257250</v>
      </c>
      <c r="D127" s="8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63">
        <v>257250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</row>
    <row r="128" spans="1:27" s="75" customFormat="1" ht="25.5" customHeight="1">
      <c r="A128" s="76">
        <v>99</v>
      </c>
      <c r="B128" s="155" t="s">
        <v>706</v>
      </c>
      <c r="C128" s="8">
        <f t="shared" si="55"/>
        <v>1544454</v>
      </c>
      <c r="D128" s="8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874.5</v>
      </c>
      <c r="P128" s="63">
        <v>1544454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</row>
    <row r="129" spans="1:27" s="75" customFormat="1" ht="25.5" customHeight="1">
      <c r="A129" s="76">
        <v>100</v>
      </c>
      <c r="B129" s="155" t="s">
        <v>707</v>
      </c>
      <c r="C129" s="8">
        <f t="shared" si="55"/>
        <v>105000</v>
      </c>
      <c r="D129" s="8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63">
        <v>105000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</row>
    <row r="130" spans="1:27" s="75" customFormat="1" ht="25.5" customHeight="1">
      <c r="A130" s="76">
        <v>101</v>
      </c>
      <c r="B130" s="155" t="s">
        <v>708</v>
      </c>
      <c r="C130" s="8">
        <f t="shared" si="55"/>
        <v>336000</v>
      </c>
      <c r="D130" s="8">
        <f t="shared" si="56"/>
        <v>336000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8">
        <v>336000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</row>
    <row r="131" spans="1:27" s="75" customFormat="1" ht="25.5" customHeight="1">
      <c r="A131" s="76">
        <v>102</v>
      </c>
      <c r="B131" s="154" t="s">
        <v>709</v>
      </c>
      <c r="C131" s="8">
        <f t="shared" si="55"/>
        <v>1130304</v>
      </c>
      <c r="D131" s="8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8">
        <v>0</v>
      </c>
      <c r="K131" s="2">
        <v>0</v>
      </c>
      <c r="L131" s="2">
        <v>0</v>
      </c>
      <c r="M131" s="2">
        <v>0</v>
      </c>
      <c r="N131" s="2">
        <v>0</v>
      </c>
      <c r="O131" s="2">
        <v>640</v>
      </c>
      <c r="P131" s="63">
        <v>1130304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</row>
    <row r="132" spans="1:27" s="75" customFormat="1" ht="25.5" customHeight="1">
      <c r="A132" s="76">
        <v>103</v>
      </c>
      <c r="B132" s="154" t="s">
        <v>846</v>
      </c>
      <c r="C132" s="8">
        <f t="shared" si="55"/>
        <v>1642473</v>
      </c>
      <c r="D132" s="8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930</v>
      </c>
      <c r="P132" s="63">
        <v>1642473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</row>
    <row r="133" spans="1:27" s="75" customFormat="1" ht="25.5" customHeight="1">
      <c r="A133" s="76">
        <v>104</v>
      </c>
      <c r="B133" s="154" t="s">
        <v>711</v>
      </c>
      <c r="C133" s="8">
        <f t="shared" si="55"/>
        <v>543470</v>
      </c>
      <c r="D133" s="8">
        <f t="shared" si="56"/>
        <v>543470</v>
      </c>
      <c r="E133" s="2">
        <v>0</v>
      </c>
      <c r="F133" s="8">
        <v>543470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</row>
    <row r="134" spans="1:27" s="75" customFormat="1" ht="25.5" customHeight="1">
      <c r="A134" s="158" t="s">
        <v>280</v>
      </c>
      <c r="B134" s="160"/>
      <c r="C134" s="8">
        <f>SUM(C135:C140)</f>
        <v>41279093.699999996</v>
      </c>
      <c r="D134" s="8">
        <f t="shared" ref="D134:AA134" si="57">SUM(D135:D140)</f>
        <v>0</v>
      </c>
      <c r="E134" s="8">
        <f t="shared" si="57"/>
        <v>0</v>
      </c>
      <c r="F134" s="8">
        <f t="shared" si="57"/>
        <v>0</v>
      </c>
      <c r="G134" s="8">
        <f t="shared" si="57"/>
        <v>0</v>
      </c>
      <c r="H134" s="8">
        <f t="shared" si="57"/>
        <v>0</v>
      </c>
      <c r="I134" s="8">
        <f t="shared" si="57"/>
        <v>0</v>
      </c>
      <c r="J134" s="8">
        <f t="shared" si="57"/>
        <v>0</v>
      </c>
      <c r="K134" s="8">
        <f t="shared" si="57"/>
        <v>0</v>
      </c>
      <c r="L134" s="8">
        <f t="shared" si="57"/>
        <v>0</v>
      </c>
      <c r="M134" s="8">
        <f t="shared" si="57"/>
        <v>0</v>
      </c>
      <c r="N134" s="8">
        <f t="shared" si="57"/>
        <v>0</v>
      </c>
      <c r="O134" s="8">
        <f t="shared" si="57"/>
        <v>3009.6</v>
      </c>
      <c r="P134" s="8">
        <f t="shared" si="57"/>
        <v>29773009.420000002</v>
      </c>
      <c r="Q134" s="8">
        <f t="shared" si="57"/>
        <v>0</v>
      </c>
      <c r="R134" s="8">
        <f t="shared" si="57"/>
        <v>0</v>
      </c>
      <c r="S134" s="8">
        <f t="shared" si="57"/>
        <v>1290.8</v>
      </c>
      <c r="T134" s="8">
        <f t="shared" si="57"/>
        <v>8507784.3899999987</v>
      </c>
      <c r="U134" s="8">
        <f t="shared" si="57"/>
        <v>0</v>
      </c>
      <c r="V134" s="8">
        <f t="shared" si="57"/>
        <v>0</v>
      </c>
      <c r="W134" s="8">
        <f t="shared" si="57"/>
        <v>0</v>
      </c>
      <c r="X134" s="8">
        <f t="shared" si="57"/>
        <v>0</v>
      </c>
      <c r="Y134" s="8">
        <f t="shared" si="57"/>
        <v>0</v>
      </c>
      <c r="Z134" s="8">
        <f t="shared" si="57"/>
        <v>2998299.8899999997</v>
      </c>
      <c r="AA134" s="8">
        <f t="shared" si="57"/>
        <v>0</v>
      </c>
    </row>
    <row r="135" spans="1:27" s="75" customFormat="1" ht="25.5" customHeight="1">
      <c r="A135" s="76">
        <v>105</v>
      </c>
      <c r="B135" s="121" t="s">
        <v>678</v>
      </c>
      <c r="C135" s="8">
        <v>9174146.9799999986</v>
      </c>
      <c r="D135" s="8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133">
        <v>1290.8</v>
      </c>
      <c r="T135" s="8">
        <v>8507784.3899999987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8">
        <v>666362.59</v>
      </c>
      <c r="AA135" s="2">
        <v>0</v>
      </c>
    </row>
    <row r="136" spans="1:27" s="75" customFormat="1" ht="25.5" customHeight="1">
      <c r="A136" s="76">
        <v>106</v>
      </c>
      <c r="B136" s="20" t="s">
        <v>679</v>
      </c>
      <c r="C136" s="8">
        <v>2637778.1</v>
      </c>
      <c r="D136" s="8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188</v>
      </c>
      <c r="P136" s="63">
        <v>2446183.54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8">
        <v>191594.56</v>
      </c>
      <c r="AA136" s="2">
        <v>0</v>
      </c>
    </row>
    <row r="137" spans="1:27" s="75" customFormat="1" ht="25.5" customHeight="1">
      <c r="A137" s="76">
        <v>107</v>
      </c>
      <c r="B137" s="71" t="s">
        <v>680</v>
      </c>
      <c r="C137" s="8">
        <v>7440498.5599999996</v>
      </c>
      <c r="D137" s="8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530.29999999999995</v>
      </c>
      <c r="P137" s="63">
        <v>6900059.2199999997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8">
        <v>540439.34</v>
      </c>
      <c r="AA137" s="2">
        <v>0</v>
      </c>
    </row>
    <row r="138" spans="1:27" s="75" customFormat="1" ht="25.5" customHeight="1">
      <c r="A138" s="76">
        <v>108</v>
      </c>
      <c r="B138" s="20" t="s">
        <v>681</v>
      </c>
      <c r="C138" s="8">
        <v>5584232.3700000001</v>
      </c>
      <c r="D138" s="8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398</v>
      </c>
      <c r="P138" s="63">
        <v>5178622.6100000003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8">
        <v>405609.76</v>
      </c>
      <c r="AA138" s="2">
        <v>0</v>
      </c>
    </row>
    <row r="139" spans="1:27" s="75" customFormat="1" ht="25.5" customHeight="1">
      <c r="A139" s="76">
        <v>109</v>
      </c>
      <c r="B139" s="20" t="s">
        <v>682</v>
      </c>
      <c r="C139" s="8">
        <v>10971178.120000001</v>
      </c>
      <c r="D139" s="8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1263.3</v>
      </c>
      <c r="P139" s="63">
        <v>10174288.48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8">
        <v>796889.64</v>
      </c>
      <c r="AA139" s="2">
        <v>0</v>
      </c>
    </row>
    <row r="140" spans="1:27" s="75" customFormat="1" ht="25.5" customHeight="1">
      <c r="A140" s="76">
        <v>110</v>
      </c>
      <c r="B140" s="20" t="s">
        <v>683</v>
      </c>
      <c r="C140" s="8">
        <v>5471259.5700000003</v>
      </c>
      <c r="D140" s="8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630</v>
      </c>
      <c r="P140" s="63">
        <v>5073855.57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8">
        <v>397404</v>
      </c>
      <c r="AA140" s="2">
        <v>0</v>
      </c>
    </row>
    <row r="141" spans="1:27" s="75" customFormat="1" ht="25.5" customHeight="1">
      <c r="A141" s="158" t="s">
        <v>326</v>
      </c>
      <c r="B141" s="160"/>
      <c r="C141" s="8">
        <f>SUM(C142:C152)</f>
        <v>63589890.280000001</v>
      </c>
      <c r="D141" s="8">
        <f t="shared" ref="D141:AA141" si="58">SUM(D142:D152)</f>
        <v>0</v>
      </c>
      <c r="E141" s="8">
        <f t="shared" si="58"/>
        <v>0</v>
      </c>
      <c r="F141" s="8">
        <f t="shared" si="58"/>
        <v>0</v>
      </c>
      <c r="G141" s="8">
        <f t="shared" si="58"/>
        <v>0</v>
      </c>
      <c r="H141" s="8">
        <f t="shared" si="58"/>
        <v>0</v>
      </c>
      <c r="I141" s="8">
        <f t="shared" si="58"/>
        <v>0</v>
      </c>
      <c r="J141" s="8">
        <f t="shared" si="58"/>
        <v>0</v>
      </c>
      <c r="K141" s="8">
        <f t="shared" si="58"/>
        <v>0</v>
      </c>
      <c r="L141" s="8">
        <f t="shared" si="58"/>
        <v>0</v>
      </c>
      <c r="M141" s="8">
        <f t="shared" si="58"/>
        <v>0</v>
      </c>
      <c r="N141" s="8">
        <f t="shared" si="58"/>
        <v>0</v>
      </c>
      <c r="O141" s="8">
        <f t="shared" si="58"/>
        <v>4007.48</v>
      </c>
      <c r="P141" s="8">
        <f t="shared" si="58"/>
        <v>46804153.259999998</v>
      </c>
      <c r="Q141" s="8">
        <f t="shared" si="58"/>
        <v>0</v>
      </c>
      <c r="R141" s="8">
        <f t="shared" si="58"/>
        <v>0</v>
      </c>
      <c r="S141" s="8">
        <f t="shared" si="58"/>
        <v>1845.96</v>
      </c>
      <c r="T141" s="8">
        <f t="shared" si="58"/>
        <v>12166896.25</v>
      </c>
      <c r="U141" s="8">
        <f t="shared" si="58"/>
        <v>0</v>
      </c>
      <c r="V141" s="8">
        <f t="shared" si="58"/>
        <v>0</v>
      </c>
      <c r="W141" s="8">
        <f t="shared" si="58"/>
        <v>0</v>
      </c>
      <c r="X141" s="8">
        <f t="shared" si="58"/>
        <v>0</v>
      </c>
      <c r="Y141" s="8">
        <f t="shared" si="58"/>
        <v>0</v>
      </c>
      <c r="Z141" s="8">
        <f t="shared" si="58"/>
        <v>4618840.7699999996</v>
      </c>
      <c r="AA141" s="8">
        <f t="shared" si="58"/>
        <v>0</v>
      </c>
    </row>
    <row r="142" spans="1:27" s="75" customFormat="1" ht="25.5" customHeight="1">
      <c r="A142" s="76">
        <v>111</v>
      </c>
      <c r="B142" s="124" t="s">
        <v>686</v>
      </c>
      <c r="C142" s="8">
        <f>D142+L142+N142+P142+R142+T142+V142+X142+Y142+Z142+AA142</f>
        <v>5010979</v>
      </c>
      <c r="D142" s="1">
        <f>E142+F142+G142+H142+I142+J142</f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3">
        <v>577</v>
      </c>
      <c r="P142" s="8">
        <v>4647007.4000000004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8">
        <v>363971.6</v>
      </c>
      <c r="AA142" s="2">
        <v>0</v>
      </c>
    </row>
    <row r="143" spans="1:27" s="75" customFormat="1" ht="25.5" customHeight="1">
      <c r="A143" s="76">
        <v>112</v>
      </c>
      <c r="B143" s="124" t="s">
        <v>684</v>
      </c>
      <c r="C143" s="8">
        <f t="shared" ref="C143:C152" si="59">D143+L143+N143+P143+R143+T143+V143+X143+Y143+Z143+AA143</f>
        <v>7876854.4099999992</v>
      </c>
      <c r="D143" s="1">
        <f t="shared" ref="D143:D152" si="60">E143+F143+G143+H143+I143+J143</f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3">
        <v>561.4</v>
      </c>
      <c r="P143" s="8">
        <v>7304720.4399999995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8">
        <v>572133.97</v>
      </c>
      <c r="AA143" s="2">
        <v>0</v>
      </c>
    </row>
    <row r="144" spans="1:27" s="75" customFormat="1" ht="25.5" customHeight="1">
      <c r="A144" s="76">
        <v>113</v>
      </c>
      <c r="B144" s="124" t="s">
        <v>687</v>
      </c>
      <c r="C144" s="8">
        <f t="shared" si="59"/>
        <v>4342269.5</v>
      </c>
      <c r="D144" s="1">
        <f t="shared" si="60"/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3">
        <v>500</v>
      </c>
      <c r="P144" s="8">
        <v>4026869.5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8">
        <v>315400</v>
      </c>
      <c r="AA144" s="2">
        <v>0</v>
      </c>
    </row>
    <row r="145" spans="1:27" s="75" customFormat="1" ht="25.5" customHeight="1">
      <c r="A145" s="76">
        <v>114</v>
      </c>
      <c r="B145" s="124" t="s">
        <v>688</v>
      </c>
      <c r="C145" s="8">
        <f t="shared" si="59"/>
        <v>3557647.2</v>
      </c>
      <c r="D145" s="1">
        <f t="shared" si="60"/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133">
        <v>500.56</v>
      </c>
      <c r="T145" s="8">
        <v>3299238.1100000003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8">
        <v>258409.09</v>
      </c>
      <c r="AA145" s="2">
        <v>0</v>
      </c>
    </row>
    <row r="146" spans="1:27" s="75" customFormat="1" ht="25.5" customHeight="1">
      <c r="A146" s="76">
        <v>115</v>
      </c>
      <c r="B146" s="124" t="s">
        <v>689</v>
      </c>
      <c r="C146" s="8">
        <f t="shared" si="59"/>
        <v>3928605.69</v>
      </c>
      <c r="D146" s="1">
        <f t="shared" si="60"/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3">
        <v>280</v>
      </c>
      <c r="P146" s="8">
        <v>3643252.09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8">
        <v>285353.59999999998</v>
      </c>
      <c r="AA146" s="2">
        <v>0</v>
      </c>
    </row>
    <row r="147" spans="1:27" s="75" customFormat="1" ht="25.5" customHeight="1">
      <c r="A147" s="76">
        <v>116</v>
      </c>
      <c r="B147" s="124" t="s">
        <v>690</v>
      </c>
      <c r="C147" s="8">
        <f t="shared" si="59"/>
        <v>7576596.6799999997</v>
      </c>
      <c r="D147" s="1">
        <f t="shared" si="60"/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3">
        <v>540</v>
      </c>
      <c r="P147" s="8">
        <v>7026271.8799999999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8">
        <v>550324.80000000005</v>
      </c>
      <c r="AA147" s="2">
        <v>0</v>
      </c>
    </row>
    <row r="148" spans="1:27" s="75" customFormat="1" ht="25.5" customHeight="1">
      <c r="A148" s="76">
        <v>117</v>
      </c>
      <c r="B148" s="124" t="s">
        <v>685</v>
      </c>
      <c r="C148" s="8">
        <f t="shared" si="59"/>
        <v>6762814.0800000001</v>
      </c>
      <c r="D148" s="1">
        <f t="shared" si="60"/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3">
        <v>482</v>
      </c>
      <c r="P148" s="8">
        <v>6271598.2400000002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8">
        <v>491215.84</v>
      </c>
      <c r="AA148" s="2">
        <v>0</v>
      </c>
    </row>
    <row r="149" spans="1:27" s="75" customFormat="1" ht="25.5" customHeight="1">
      <c r="A149" s="76">
        <v>118</v>
      </c>
      <c r="B149" s="124" t="s">
        <v>692</v>
      </c>
      <c r="C149" s="8">
        <f t="shared" si="59"/>
        <v>6804906.2800000003</v>
      </c>
      <c r="D149" s="1">
        <f t="shared" si="60"/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3">
        <v>485</v>
      </c>
      <c r="P149" s="8">
        <v>6310633.0800000001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8">
        <v>494273.2</v>
      </c>
      <c r="AA149" s="2">
        <v>0</v>
      </c>
    </row>
    <row r="150" spans="1:27" s="75" customFormat="1" ht="25.5" customHeight="1">
      <c r="A150" s="76">
        <v>119</v>
      </c>
      <c r="B150" s="124" t="s">
        <v>693</v>
      </c>
      <c r="C150" s="8">
        <f t="shared" si="59"/>
        <v>6680894.1499999994</v>
      </c>
      <c r="D150" s="1">
        <f t="shared" si="60"/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3">
        <v>940</v>
      </c>
      <c r="T150" s="133">
        <v>6195628.5499999998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133">
        <v>485265.6</v>
      </c>
      <c r="AA150" s="2">
        <v>0</v>
      </c>
    </row>
    <row r="151" spans="1:27" s="75" customFormat="1" ht="25.5" customHeight="1">
      <c r="A151" s="76">
        <v>120</v>
      </c>
      <c r="B151" s="124" t="s">
        <v>450</v>
      </c>
      <c r="C151" s="8">
        <f t="shared" si="59"/>
        <v>2881313.29</v>
      </c>
      <c r="D151" s="1">
        <f t="shared" si="60"/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3">
        <v>405.4</v>
      </c>
      <c r="T151" s="8">
        <v>2672029.59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8">
        <v>209283.7</v>
      </c>
      <c r="AA151" s="2">
        <v>0</v>
      </c>
    </row>
    <row r="152" spans="1:27" s="75" customFormat="1" ht="25.5" customHeight="1">
      <c r="A152" s="76">
        <v>121</v>
      </c>
      <c r="B152" s="124" t="s">
        <v>694</v>
      </c>
      <c r="C152" s="8">
        <f t="shared" si="59"/>
        <v>8167010</v>
      </c>
      <c r="D152" s="1">
        <f t="shared" si="60"/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3">
        <v>582.08000000000004</v>
      </c>
      <c r="P152" s="8">
        <v>7573800.6299999999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8">
        <v>593209.37</v>
      </c>
      <c r="AA152" s="2">
        <v>0</v>
      </c>
    </row>
    <row r="153" spans="1:27" s="75" customFormat="1" ht="25.5" customHeight="1">
      <c r="A153" s="158" t="s">
        <v>141</v>
      </c>
      <c r="B153" s="160"/>
      <c r="C153" s="8">
        <f>C154</f>
        <v>7278583.8800000008</v>
      </c>
      <c r="D153" s="8">
        <f t="shared" ref="D153:AA153" si="61">D154</f>
        <v>0</v>
      </c>
      <c r="E153" s="8">
        <f t="shared" si="61"/>
        <v>0</v>
      </c>
      <c r="F153" s="8">
        <f t="shared" si="61"/>
        <v>0</v>
      </c>
      <c r="G153" s="8">
        <f t="shared" si="61"/>
        <v>0</v>
      </c>
      <c r="H153" s="8">
        <f t="shared" si="61"/>
        <v>0</v>
      </c>
      <c r="I153" s="8">
        <f t="shared" si="61"/>
        <v>0</v>
      </c>
      <c r="J153" s="8">
        <f t="shared" si="61"/>
        <v>0</v>
      </c>
      <c r="K153" s="8">
        <f t="shared" si="61"/>
        <v>0</v>
      </c>
      <c r="L153" s="8">
        <f t="shared" si="61"/>
        <v>0</v>
      </c>
      <c r="M153" s="8">
        <f t="shared" si="61"/>
        <v>0</v>
      </c>
      <c r="N153" s="8">
        <f t="shared" si="61"/>
        <v>0</v>
      </c>
      <c r="O153" s="8">
        <f t="shared" si="61"/>
        <v>518.76</v>
      </c>
      <c r="P153" s="8">
        <f t="shared" si="61"/>
        <v>6749905.1900000004</v>
      </c>
      <c r="Q153" s="8">
        <f t="shared" si="61"/>
        <v>0</v>
      </c>
      <c r="R153" s="8">
        <f t="shared" si="61"/>
        <v>0</v>
      </c>
      <c r="S153" s="8">
        <f t="shared" si="61"/>
        <v>0</v>
      </c>
      <c r="T153" s="8">
        <f t="shared" si="61"/>
        <v>0</v>
      </c>
      <c r="U153" s="8">
        <f t="shared" si="61"/>
        <v>0</v>
      </c>
      <c r="V153" s="8">
        <f t="shared" si="61"/>
        <v>0</v>
      </c>
      <c r="W153" s="8">
        <f t="shared" si="61"/>
        <v>0</v>
      </c>
      <c r="X153" s="8">
        <f t="shared" si="61"/>
        <v>0</v>
      </c>
      <c r="Y153" s="8">
        <f t="shared" si="61"/>
        <v>0</v>
      </c>
      <c r="Z153" s="8">
        <f t="shared" si="61"/>
        <v>528678.68999999994</v>
      </c>
      <c r="AA153" s="8">
        <f t="shared" si="61"/>
        <v>0</v>
      </c>
    </row>
    <row r="154" spans="1:27" s="75" customFormat="1" ht="25.5" customHeight="1">
      <c r="A154" s="76">
        <v>122</v>
      </c>
      <c r="B154" s="121" t="s">
        <v>543</v>
      </c>
      <c r="C154" s="8">
        <f>D154+L154+N154+P154+R154+T154+V154+X154+Y154+Z154+AA154</f>
        <v>7278583.8800000008</v>
      </c>
      <c r="D154" s="8">
        <f>E154+F154+G154+H154+I154+J154</f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8">
        <v>0</v>
      </c>
      <c r="M154" s="3">
        <v>0</v>
      </c>
      <c r="N154" s="3">
        <v>0</v>
      </c>
      <c r="O154" s="8">
        <v>518.76</v>
      </c>
      <c r="P154" s="63">
        <v>6749905.1900000004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/>
      <c r="W154" s="2">
        <v>0</v>
      </c>
      <c r="X154" s="2">
        <v>0</v>
      </c>
      <c r="Y154" s="2">
        <v>0</v>
      </c>
      <c r="Z154" s="5">
        <v>528678.68999999994</v>
      </c>
      <c r="AA154" s="2">
        <v>0</v>
      </c>
    </row>
    <row r="155" spans="1:27" s="75" customFormat="1" ht="33" customHeight="1">
      <c r="A155" s="158" t="s">
        <v>318</v>
      </c>
      <c r="B155" s="160"/>
      <c r="C155" s="8">
        <f>SUM(C156:C159)</f>
        <v>29929705.830000002</v>
      </c>
      <c r="D155" s="8">
        <f t="shared" ref="D155:AA155" si="62">SUM(D156:D159)</f>
        <v>0</v>
      </c>
      <c r="E155" s="8">
        <f t="shared" si="62"/>
        <v>0</v>
      </c>
      <c r="F155" s="8">
        <f t="shared" si="62"/>
        <v>0</v>
      </c>
      <c r="G155" s="8">
        <f t="shared" si="62"/>
        <v>0</v>
      </c>
      <c r="H155" s="8">
        <f t="shared" si="62"/>
        <v>0</v>
      </c>
      <c r="I155" s="8">
        <f t="shared" si="62"/>
        <v>0</v>
      </c>
      <c r="J155" s="8">
        <f t="shared" si="62"/>
        <v>0</v>
      </c>
      <c r="K155" s="8">
        <f t="shared" si="62"/>
        <v>0</v>
      </c>
      <c r="L155" s="8">
        <f t="shared" si="62"/>
        <v>0</v>
      </c>
      <c r="M155" s="8">
        <f t="shared" si="62"/>
        <v>0</v>
      </c>
      <c r="N155" s="8">
        <f t="shared" si="62"/>
        <v>0</v>
      </c>
      <c r="O155" s="8">
        <f t="shared" si="62"/>
        <v>2654.66</v>
      </c>
      <c r="P155" s="8">
        <f t="shared" si="62"/>
        <v>27755766.789999999</v>
      </c>
      <c r="Q155" s="8">
        <f t="shared" si="62"/>
        <v>0</v>
      </c>
      <c r="R155" s="8">
        <f t="shared" si="62"/>
        <v>0</v>
      </c>
      <c r="S155" s="8">
        <f t="shared" si="62"/>
        <v>0</v>
      </c>
      <c r="T155" s="8">
        <f t="shared" si="62"/>
        <v>0</v>
      </c>
      <c r="U155" s="8">
        <f t="shared" si="62"/>
        <v>0</v>
      </c>
      <c r="V155" s="8">
        <f t="shared" si="62"/>
        <v>0</v>
      </c>
      <c r="W155" s="8">
        <f t="shared" si="62"/>
        <v>0</v>
      </c>
      <c r="X155" s="8">
        <f t="shared" si="62"/>
        <v>0</v>
      </c>
      <c r="Y155" s="8">
        <f t="shared" si="62"/>
        <v>0</v>
      </c>
      <c r="Z155" s="8">
        <f t="shared" si="62"/>
        <v>2173939.04</v>
      </c>
      <c r="AA155" s="8">
        <f t="shared" si="62"/>
        <v>0</v>
      </c>
    </row>
    <row r="156" spans="1:27" s="75" customFormat="1" ht="25.5" customHeight="1">
      <c r="A156" s="76">
        <v>123</v>
      </c>
      <c r="B156" s="155" t="s">
        <v>847</v>
      </c>
      <c r="C156" s="8">
        <f>D156+L156+N156+P156+R156+T156+V156+X156+Y156+Z156+AA156</f>
        <v>5943090.5700000003</v>
      </c>
      <c r="D156" s="8">
        <f>E156+F156+G156+H156+I156+J156</f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8">
        <v>684.33</v>
      </c>
      <c r="P156" s="63">
        <v>5511415.21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8">
        <v>431675.36</v>
      </c>
      <c r="AA156" s="2">
        <v>0</v>
      </c>
    </row>
    <row r="157" spans="1:27" s="75" customFormat="1" ht="25.5" customHeight="1">
      <c r="A157" s="76">
        <v>124</v>
      </c>
      <c r="B157" s="155" t="s">
        <v>848</v>
      </c>
      <c r="C157" s="8">
        <f t="shared" ref="C157:C159" si="63">D157+L157+N157+P157+R157+T157+V157+X157+Y157+Z157+AA157</f>
        <v>5943090.5700000003</v>
      </c>
      <c r="D157" s="8">
        <f t="shared" ref="D157:D159" si="64">E157+F157+G157+H157+I157+J157</f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8">
        <v>684.33</v>
      </c>
      <c r="P157" s="63">
        <v>5511415.21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8">
        <v>431675.36</v>
      </c>
      <c r="AA157" s="2">
        <v>0</v>
      </c>
    </row>
    <row r="158" spans="1:27" s="75" customFormat="1" ht="25.5" customHeight="1">
      <c r="A158" s="76">
        <v>125</v>
      </c>
      <c r="B158" s="155" t="s">
        <v>695</v>
      </c>
      <c r="C158" s="8">
        <f t="shared" si="63"/>
        <v>4279374.05</v>
      </c>
      <c r="D158" s="8">
        <f t="shared" si="64"/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8">
        <v>305</v>
      </c>
      <c r="P158" s="63">
        <v>3968542.45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8">
        <v>310831.59999999998</v>
      </c>
      <c r="AA158" s="2">
        <v>0</v>
      </c>
    </row>
    <row r="159" spans="1:27" s="75" customFormat="1" ht="25.5" customHeight="1">
      <c r="A159" s="76">
        <v>126</v>
      </c>
      <c r="B159" s="154" t="s">
        <v>696</v>
      </c>
      <c r="C159" s="8">
        <f t="shared" si="63"/>
        <v>13764150.640000001</v>
      </c>
      <c r="D159" s="8">
        <f t="shared" si="64"/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8">
        <v>981</v>
      </c>
      <c r="P159" s="63">
        <v>12764393.92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8">
        <v>999756.72</v>
      </c>
      <c r="AA159" s="2">
        <v>0</v>
      </c>
    </row>
    <row r="160" spans="1:27" s="101" customFormat="1" ht="36.75" customHeight="1">
      <c r="A160" s="158" t="s">
        <v>462</v>
      </c>
      <c r="B160" s="160"/>
      <c r="C160" s="1">
        <f>C161+C162</f>
        <v>22419710.82</v>
      </c>
      <c r="D160" s="1">
        <f t="shared" ref="D160:AA160" si="65">D161+D162</f>
        <v>0</v>
      </c>
      <c r="E160" s="1">
        <f t="shared" si="65"/>
        <v>0</v>
      </c>
      <c r="F160" s="1">
        <f t="shared" si="65"/>
        <v>0</v>
      </c>
      <c r="G160" s="1">
        <f t="shared" si="65"/>
        <v>0</v>
      </c>
      <c r="H160" s="1">
        <f t="shared" si="65"/>
        <v>0</v>
      </c>
      <c r="I160" s="1">
        <f t="shared" si="65"/>
        <v>0</v>
      </c>
      <c r="J160" s="1">
        <f t="shared" si="65"/>
        <v>0</v>
      </c>
      <c r="K160" s="1">
        <f t="shared" si="65"/>
        <v>0</v>
      </c>
      <c r="L160" s="1">
        <f t="shared" si="65"/>
        <v>0</v>
      </c>
      <c r="M160" s="1">
        <f t="shared" si="65"/>
        <v>0</v>
      </c>
      <c r="N160" s="1">
        <f t="shared" si="65"/>
        <v>0</v>
      </c>
      <c r="O160" s="1">
        <f t="shared" si="65"/>
        <v>1597.9</v>
      </c>
      <c r="P160" s="1">
        <f t="shared" si="65"/>
        <v>20791258.969999999</v>
      </c>
      <c r="Q160" s="1">
        <f t="shared" si="65"/>
        <v>0</v>
      </c>
      <c r="R160" s="1">
        <f t="shared" si="65"/>
        <v>0</v>
      </c>
      <c r="S160" s="1">
        <f t="shared" si="65"/>
        <v>0</v>
      </c>
      <c r="T160" s="1">
        <f t="shared" si="65"/>
        <v>0</v>
      </c>
      <c r="U160" s="1">
        <f t="shared" si="65"/>
        <v>0</v>
      </c>
      <c r="V160" s="1">
        <f t="shared" si="65"/>
        <v>0</v>
      </c>
      <c r="W160" s="1">
        <f t="shared" si="65"/>
        <v>0</v>
      </c>
      <c r="X160" s="1">
        <f t="shared" si="65"/>
        <v>0</v>
      </c>
      <c r="Y160" s="1">
        <f t="shared" si="65"/>
        <v>0</v>
      </c>
      <c r="Z160" s="1">
        <f t="shared" si="65"/>
        <v>1628451.85</v>
      </c>
      <c r="AA160" s="1">
        <f t="shared" si="65"/>
        <v>0</v>
      </c>
    </row>
    <row r="161" spans="1:27" s="101" customFormat="1" ht="30.75" customHeight="1">
      <c r="A161" s="76">
        <v>127</v>
      </c>
      <c r="B161" s="121" t="s">
        <v>51</v>
      </c>
      <c r="C161" s="1">
        <f>D161+L161+N161+P161+R161+T161+V161+X161+Y161+Z161+AA161</f>
        <v>7015367.2999999998</v>
      </c>
      <c r="D161" s="1">
        <f>E161+F161+G161+H161+I161+J161</f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3">
        <v>500</v>
      </c>
      <c r="P161" s="1">
        <v>6505807.2999999998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1">
        <v>509560</v>
      </c>
      <c r="AA161" s="2">
        <v>0</v>
      </c>
    </row>
    <row r="162" spans="1:27" s="101" customFormat="1" ht="33.75" customHeight="1">
      <c r="A162" s="76">
        <v>128</v>
      </c>
      <c r="B162" s="121" t="s">
        <v>476</v>
      </c>
      <c r="C162" s="1">
        <f>D162+L162+N162+P162+R162+T162+V162+X162+Y162+Z162+AA162</f>
        <v>15404343.52</v>
      </c>
      <c r="D162" s="1">
        <f>E162+F162+G162+H162+I162+J162</f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3">
        <v>1097.9000000000001</v>
      </c>
      <c r="P162" s="1">
        <v>14285451.67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1">
        <v>1118891.8500000001</v>
      </c>
      <c r="AA162" s="2">
        <v>0</v>
      </c>
    </row>
    <row r="163" spans="1:27" s="75" customFormat="1" ht="38.25" customHeight="1">
      <c r="A163" s="158" t="s">
        <v>461</v>
      </c>
      <c r="B163" s="160"/>
      <c r="C163" s="1">
        <f>SUM(C164:C166)</f>
        <v>24559839.18</v>
      </c>
      <c r="D163" s="1">
        <f t="shared" ref="D163:AA163" si="66">SUM(D164:D166)</f>
        <v>8519113.3599999994</v>
      </c>
      <c r="E163" s="1">
        <f t="shared" si="66"/>
        <v>0</v>
      </c>
      <c r="F163" s="1">
        <f t="shared" si="66"/>
        <v>0</v>
      </c>
      <c r="G163" s="1">
        <f t="shared" si="66"/>
        <v>0</v>
      </c>
      <c r="H163" s="1">
        <f t="shared" si="66"/>
        <v>4895188.2</v>
      </c>
      <c r="I163" s="1">
        <f t="shared" si="66"/>
        <v>0</v>
      </c>
      <c r="J163" s="1">
        <f t="shared" si="66"/>
        <v>3623925.16</v>
      </c>
      <c r="K163" s="1">
        <f t="shared" si="66"/>
        <v>0</v>
      </c>
      <c r="L163" s="1">
        <f t="shared" si="66"/>
        <v>0</v>
      </c>
      <c r="M163" s="1">
        <f t="shared" si="66"/>
        <v>0</v>
      </c>
      <c r="N163" s="1">
        <f t="shared" si="66"/>
        <v>0</v>
      </c>
      <c r="O163" s="1">
        <f t="shared" si="66"/>
        <v>1095.7</v>
      </c>
      <c r="P163" s="1">
        <f t="shared" si="66"/>
        <v>14256826.120000001</v>
      </c>
      <c r="Q163" s="1">
        <f t="shared" si="66"/>
        <v>0</v>
      </c>
      <c r="R163" s="1">
        <f t="shared" si="66"/>
        <v>0</v>
      </c>
      <c r="S163" s="1">
        <f t="shared" si="66"/>
        <v>0</v>
      </c>
      <c r="T163" s="1">
        <f t="shared" si="66"/>
        <v>0</v>
      </c>
      <c r="U163" s="1">
        <f t="shared" si="66"/>
        <v>0</v>
      </c>
      <c r="V163" s="1">
        <f t="shared" si="66"/>
        <v>0</v>
      </c>
      <c r="W163" s="1">
        <f t="shared" si="66"/>
        <v>0</v>
      </c>
      <c r="X163" s="1">
        <f t="shared" si="66"/>
        <v>0</v>
      </c>
      <c r="Y163" s="1">
        <f t="shared" si="66"/>
        <v>0</v>
      </c>
      <c r="Z163" s="1">
        <f t="shared" si="66"/>
        <v>1783899.7000000002</v>
      </c>
      <c r="AA163" s="1">
        <f t="shared" si="66"/>
        <v>0</v>
      </c>
    </row>
    <row r="164" spans="1:27" s="75" customFormat="1" ht="25.5" customHeight="1">
      <c r="A164" s="120">
        <v>129</v>
      </c>
      <c r="B164" s="121" t="s">
        <v>126</v>
      </c>
      <c r="C164" s="1">
        <f>D164+L164+N164+P164+R164+T164+V164+X164+Y164+Z164+AA164</f>
        <v>9186363.2799999993</v>
      </c>
      <c r="D164" s="1">
        <f>SUM(E164:J164)</f>
        <v>8519113.3599999994</v>
      </c>
      <c r="E164" s="2">
        <v>0</v>
      </c>
      <c r="F164" s="2">
        <v>0</v>
      </c>
      <c r="G164" s="2">
        <v>0</v>
      </c>
      <c r="H164" s="1">
        <v>4895188.2</v>
      </c>
      <c r="I164" s="2">
        <v>0</v>
      </c>
      <c r="J164" s="1">
        <v>3623925.16</v>
      </c>
      <c r="K164" s="2">
        <v>0</v>
      </c>
      <c r="L164" s="2">
        <v>0</v>
      </c>
      <c r="M164" s="2">
        <v>0</v>
      </c>
      <c r="N164" s="2">
        <v>0</v>
      </c>
      <c r="O164" s="3">
        <v>0</v>
      </c>
      <c r="P164" s="3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1">
        <v>667249.92000000004</v>
      </c>
      <c r="AA164" s="2">
        <v>0</v>
      </c>
    </row>
    <row r="165" spans="1:27" s="75" customFormat="1" ht="25.5" customHeight="1">
      <c r="A165" s="120">
        <v>130</v>
      </c>
      <c r="B165" s="121" t="s">
        <v>127</v>
      </c>
      <c r="C165" s="1">
        <f t="shared" ref="C165:C176" si="67">D165+L165+N165+P165+R165+T165+V165+X165+Y165+Z165+AA165</f>
        <v>7702873.2999999998</v>
      </c>
      <c r="D165" s="1">
        <f t="shared" ref="D165:D176" si="68">SUM(E165:J165)</f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3">
        <v>549</v>
      </c>
      <c r="P165" s="63">
        <v>7143376.4199999999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1">
        <v>559496.88</v>
      </c>
      <c r="AA165" s="2">
        <v>0</v>
      </c>
    </row>
    <row r="166" spans="1:27" s="75" customFormat="1" ht="25.5" customHeight="1">
      <c r="A166" s="76">
        <v>131</v>
      </c>
      <c r="B166" s="121" t="s">
        <v>125</v>
      </c>
      <c r="C166" s="1">
        <f t="shared" si="67"/>
        <v>7670602.6000000006</v>
      </c>
      <c r="D166" s="1">
        <f t="shared" si="68"/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3">
        <v>546.70000000000005</v>
      </c>
      <c r="P166" s="63">
        <v>7113449.7000000002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1">
        <v>557152.9</v>
      </c>
      <c r="AA166" s="2">
        <v>0</v>
      </c>
    </row>
    <row r="167" spans="1:27" s="75" customFormat="1" ht="39.75" customHeight="1">
      <c r="A167" s="158" t="s">
        <v>333</v>
      </c>
      <c r="B167" s="160"/>
      <c r="C167" s="1">
        <f>SUM(C168:C174)</f>
        <v>61628586.450000003</v>
      </c>
      <c r="D167" s="1">
        <f t="shared" ref="D167:AA167" si="69">SUM(D168:D174)</f>
        <v>0</v>
      </c>
      <c r="E167" s="1">
        <f t="shared" si="69"/>
        <v>0</v>
      </c>
      <c r="F167" s="1">
        <f t="shared" si="69"/>
        <v>0</v>
      </c>
      <c r="G167" s="1">
        <f t="shared" si="69"/>
        <v>0</v>
      </c>
      <c r="H167" s="1">
        <f t="shared" si="69"/>
        <v>0</v>
      </c>
      <c r="I167" s="1">
        <f t="shared" si="69"/>
        <v>0</v>
      </c>
      <c r="J167" s="1">
        <f t="shared" si="69"/>
        <v>0</v>
      </c>
      <c r="K167" s="1">
        <f t="shared" si="69"/>
        <v>0</v>
      </c>
      <c r="L167" s="1">
        <f t="shared" si="69"/>
        <v>0</v>
      </c>
      <c r="M167" s="1">
        <f t="shared" si="69"/>
        <v>7</v>
      </c>
      <c r="N167" s="1">
        <f t="shared" si="69"/>
        <v>38052029.239999995</v>
      </c>
      <c r="O167" s="1">
        <f t="shared" si="69"/>
        <v>1726.3</v>
      </c>
      <c r="P167" s="1">
        <f t="shared" si="69"/>
        <v>19100175.41</v>
      </c>
      <c r="Q167" s="1">
        <f t="shared" si="69"/>
        <v>0</v>
      </c>
      <c r="R167" s="1">
        <f t="shared" si="69"/>
        <v>0</v>
      </c>
      <c r="S167" s="1">
        <f t="shared" si="69"/>
        <v>0</v>
      </c>
      <c r="T167" s="1">
        <f t="shared" si="69"/>
        <v>0</v>
      </c>
      <c r="U167" s="1">
        <f t="shared" si="69"/>
        <v>0</v>
      </c>
      <c r="V167" s="1">
        <f t="shared" si="69"/>
        <v>0</v>
      </c>
      <c r="W167" s="1">
        <f t="shared" si="69"/>
        <v>0</v>
      </c>
      <c r="X167" s="1">
        <f t="shared" si="69"/>
        <v>0</v>
      </c>
      <c r="Y167" s="1">
        <f t="shared" si="69"/>
        <v>0</v>
      </c>
      <c r="Z167" s="1">
        <f t="shared" si="69"/>
        <v>4476381.8</v>
      </c>
      <c r="AA167" s="1">
        <f t="shared" si="69"/>
        <v>0</v>
      </c>
    </row>
    <row r="168" spans="1:27" s="75" customFormat="1" ht="25.5" customHeight="1">
      <c r="A168" s="76">
        <v>132</v>
      </c>
      <c r="B168" s="14" t="s">
        <v>628</v>
      </c>
      <c r="C168" s="1">
        <f>D168+L168+N168+P168+R168+T168+V168+X168+Y156+Y168+Z168+AA168</f>
        <v>4744363.66</v>
      </c>
      <c r="D168" s="1">
        <f>E168+F168+G168+H168+I168+J168</f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1">
        <v>546.29999999999995</v>
      </c>
      <c r="P168" s="110">
        <v>4399757.62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1">
        <v>344606.04</v>
      </c>
      <c r="AA168" s="2">
        <v>0</v>
      </c>
    </row>
    <row r="169" spans="1:27" s="75" customFormat="1" ht="25.5" customHeight="1">
      <c r="A169" s="76">
        <v>133</v>
      </c>
      <c r="B169" s="14" t="s">
        <v>443</v>
      </c>
      <c r="C169" s="1">
        <f>D169+L169+N169+P169+R169+T169+V169+X169+Y157+Y169+Z169+AA169</f>
        <v>5612293.8399999999</v>
      </c>
      <c r="D169" s="1">
        <f t="shared" ref="D169:D174" si="70">E169+F169+G169+H169+I169+J169</f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1">
        <v>400</v>
      </c>
      <c r="P169" s="1">
        <v>5204645.84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1">
        <v>407648</v>
      </c>
      <c r="AA169" s="2">
        <v>0</v>
      </c>
    </row>
    <row r="170" spans="1:27" s="75" customFormat="1" ht="25.5" customHeight="1">
      <c r="A170" s="76">
        <v>134</v>
      </c>
      <c r="B170" s="14" t="s">
        <v>445</v>
      </c>
      <c r="C170" s="1">
        <f>D170+L170+N170+P170+R170+T170+V170+X170+Y158+Y170+Z170+AA170</f>
        <v>10239517.549999999</v>
      </c>
      <c r="D170" s="1">
        <f t="shared" si="70"/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1">
        <v>780</v>
      </c>
      <c r="P170" s="1">
        <v>9495771.9499999993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1">
        <v>743745.6</v>
      </c>
      <c r="AA170" s="2">
        <v>0</v>
      </c>
    </row>
    <row r="171" spans="1:27" s="75" customFormat="1" ht="25.5" customHeight="1">
      <c r="A171" s="76">
        <v>135</v>
      </c>
      <c r="B171" s="14" t="s">
        <v>627</v>
      </c>
      <c r="C171" s="1">
        <f>N171+Z171</f>
        <v>11723546.109999999</v>
      </c>
      <c r="D171" s="1">
        <f t="shared" si="70"/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16">
        <v>2</v>
      </c>
      <c r="N171" s="1">
        <v>10872008.35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1">
        <v>851537.76</v>
      </c>
      <c r="AA171" s="2">
        <v>0</v>
      </c>
    </row>
    <row r="172" spans="1:27" s="75" customFormat="1" ht="25.5" customHeight="1">
      <c r="A172" s="76">
        <v>136</v>
      </c>
      <c r="B172" s="14" t="s">
        <v>444</v>
      </c>
      <c r="C172" s="1">
        <f>D172+L172+N172+P172+R172+T172+V172+X172+Y163+Y172+Z172+AA172</f>
        <v>17585319.169999998</v>
      </c>
      <c r="D172" s="1">
        <f t="shared" si="70"/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16">
        <v>3</v>
      </c>
      <c r="N172" s="1">
        <v>16308012.529999999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1">
        <v>1277306.6399999999</v>
      </c>
      <c r="AA172" s="2">
        <v>0</v>
      </c>
    </row>
    <row r="173" spans="1:27" s="75" customFormat="1" ht="25.5" customHeight="1">
      <c r="A173" s="76">
        <v>137</v>
      </c>
      <c r="B173" s="14" t="s">
        <v>629</v>
      </c>
      <c r="C173" s="1">
        <f>N173+Z173</f>
        <v>5861773.0599999996</v>
      </c>
      <c r="D173" s="1">
        <f t="shared" si="70"/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16">
        <v>1</v>
      </c>
      <c r="N173" s="1">
        <v>5436004.1799999997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1">
        <v>425768.88</v>
      </c>
      <c r="AA173" s="2">
        <v>0</v>
      </c>
    </row>
    <row r="174" spans="1:27" s="75" customFormat="1" ht="18.75">
      <c r="A174" s="76">
        <v>138</v>
      </c>
      <c r="B174" s="14" t="s">
        <v>849</v>
      </c>
      <c r="C174" s="1">
        <f>N174+Z174</f>
        <v>5861773.0599999996</v>
      </c>
      <c r="D174" s="1">
        <f t="shared" si="70"/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16">
        <v>1</v>
      </c>
      <c r="N174" s="1">
        <v>5436004.1799999997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1">
        <v>425768.88</v>
      </c>
      <c r="AA174" s="2">
        <v>0</v>
      </c>
    </row>
    <row r="175" spans="1:27" s="75" customFormat="1" ht="38.25" customHeight="1">
      <c r="A175" s="158" t="s">
        <v>201</v>
      </c>
      <c r="B175" s="160"/>
      <c r="C175" s="1">
        <f>C176</f>
        <v>5414514.79</v>
      </c>
      <c r="D175" s="1">
        <f t="shared" ref="D175:AA175" si="71">D176</f>
        <v>0</v>
      </c>
      <c r="E175" s="1">
        <f t="shared" si="71"/>
        <v>0</v>
      </c>
      <c r="F175" s="1">
        <f t="shared" si="71"/>
        <v>0</v>
      </c>
      <c r="G175" s="1">
        <f t="shared" si="71"/>
        <v>0</v>
      </c>
      <c r="H175" s="1">
        <f t="shared" si="71"/>
        <v>0</v>
      </c>
      <c r="I175" s="1">
        <f t="shared" si="71"/>
        <v>0</v>
      </c>
      <c r="J175" s="1">
        <f t="shared" si="71"/>
        <v>0</v>
      </c>
      <c r="K175" s="1">
        <f t="shared" si="71"/>
        <v>0</v>
      </c>
      <c r="L175" s="1">
        <f t="shared" si="71"/>
        <v>0</v>
      </c>
      <c r="M175" s="1">
        <f t="shared" si="71"/>
        <v>0</v>
      </c>
      <c r="N175" s="1">
        <f t="shared" si="71"/>
        <v>0</v>
      </c>
      <c r="O175" s="1">
        <f t="shared" si="71"/>
        <v>623.47</v>
      </c>
      <c r="P175" s="1">
        <f t="shared" si="71"/>
        <v>5021232.4400000004</v>
      </c>
      <c r="Q175" s="1">
        <f t="shared" si="71"/>
        <v>0</v>
      </c>
      <c r="R175" s="1">
        <f t="shared" si="71"/>
        <v>0</v>
      </c>
      <c r="S175" s="1">
        <f t="shared" si="71"/>
        <v>0</v>
      </c>
      <c r="T175" s="1">
        <f t="shared" si="71"/>
        <v>0</v>
      </c>
      <c r="U175" s="1">
        <f t="shared" si="71"/>
        <v>0</v>
      </c>
      <c r="V175" s="1">
        <f t="shared" si="71"/>
        <v>0</v>
      </c>
      <c r="W175" s="1">
        <f t="shared" si="71"/>
        <v>0</v>
      </c>
      <c r="X175" s="1">
        <f t="shared" si="71"/>
        <v>0</v>
      </c>
      <c r="Y175" s="1">
        <f t="shared" si="71"/>
        <v>0</v>
      </c>
      <c r="Z175" s="1">
        <f t="shared" si="71"/>
        <v>393282.35</v>
      </c>
      <c r="AA175" s="1">
        <f t="shared" si="71"/>
        <v>0</v>
      </c>
    </row>
    <row r="176" spans="1:27" s="75" customFormat="1" ht="25.5" customHeight="1">
      <c r="A176" s="76">
        <v>139</v>
      </c>
      <c r="B176" s="121" t="s">
        <v>202</v>
      </c>
      <c r="C176" s="1">
        <f t="shared" si="67"/>
        <v>5414514.79</v>
      </c>
      <c r="D176" s="1">
        <f t="shared" si="68"/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3">
        <v>623.47</v>
      </c>
      <c r="P176" s="63">
        <v>5021232.4400000004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8">
        <v>393282.35</v>
      </c>
      <c r="AA176" s="2">
        <v>0</v>
      </c>
    </row>
    <row r="177" spans="1:27" s="75" customFormat="1" ht="18.75">
      <c r="A177" s="196" t="s">
        <v>639</v>
      </c>
      <c r="B177" s="196"/>
      <c r="C177" s="196"/>
      <c r="D177" s="196"/>
      <c r="E177" s="196"/>
      <c r="F177" s="196"/>
      <c r="G177" s="196"/>
      <c r="H177" s="196"/>
      <c r="I177" s="196"/>
      <c r="J177" s="196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196"/>
      <c r="W177" s="196"/>
      <c r="X177" s="196"/>
      <c r="Y177" s="196"/>
      <c r="Z177" s="196"/>
      <c r="AA177" s="196"/>
    </row>
    <row r="178" spans="1:27" ht="31.5" customHeight="1">
      <c r="A178" s="158" t="s">
        <v>328</v>
      </c>
      <c r="B178" s="160"/>
      <c r="C178" s="1">
        <f t="shared" ref="C178:AA178" si="72">C179+C273+C191+C193+C195+C200+C202+C204+C211+C213+C215+C221+C223+C228+C230+C232+C245+C249+C251+C253+C255+C266+C268+C270+C279+C281</f>
        <v>935546845.11999989</v>
      </c>
      <c r="D178" s="1">
        <f t="shared" si="72"/>
        <v>81115378.11999999</v>
      </c>
      <c r="E178" s="1">
        <f t="shared" si="72"/>
        <v>10130326.919999998</v>
      </c>
      <c r="F178" s="1">
        <f t="shared" si="72"/>
        <v>23204362.32</v>
      </c>
      <c r="G178" s="1">
        <f t="shared" si="72"/>
        <v>3269246.05</v>
      </c>
      <c r="H178" s="1">
        <f t="shared" si="72"/>
        <v>17185881.32</v>
      </c>
      <c r="I178" s="1">
        <f t="shared" si="72"/>
        <v>14604866.129999999</v>
      </c>
      <c r="J178" s="1">
        <f t="shared" si="72"/>
        <v>12720695.379999999</v>
      </c>
      <c r="K178" s="1">
        <f t="shared" si="72"/>
        <v>0</v>
      </c>
      <c r="L178" s="1">
        <f t="shared" si="72"/>
        <v>0</v>
      </c>
      <c r="M178" s="1">
        <f t="shared" si="72"/>
        <v>28</v>
      </c>
      <c r="N178" s="1">
        <f t="shared" si="72"/>
        <v>168303072.55000001</v>
      </c>
      <c r="O178" s="1">
        <f t="shared" si="72"/>
        <v>48130.329999999994</v>
      </c>
      <c r="P178" s="1">
        <f t="shared" si="72"/>
        <v>552196046.81999993</v>
      </c>
      <c r="Q178" s="1">
        <f t="shared" si="72"/>
        <v>0</v>
      </c>
      <c r="R178" s="1">
        <f t="shared" si="72"/>
        <v>0</v>
      </c>
      <c r="S178" s="1">
        <f t="shared" si="72"/>
        <v>4476.3600000000006</v>
      </c>
      <c r="T178" s="1">
        <f t="shared" si="72"/>
        <v>30830035.129999999</v>
      </c>
      <c r="U178" s="1">
        <f t="shared" si="72"/>
        <v>2904.02</v>
      </c>
      <c r="V178" s="1">
        <f t="shared" si="72"/>
        <v>35149067.440000005</v>
      </c>
      <c r="W178" s="1">
        <f t="shared" si="72"/>
        <v>0</v>
      </c>
      <c r="X178" s="1">
        <f t="shared" si="72"/>
        <v>0</v>
      </c>
      <c r="Y178" s="1">
        <f t="shared" si="72"/>
        <v>0</v>
      </c>
      <c r="Z178" s="1">
        <f t="shared" si="72"/>
        <v>67953245.060000002</v>
      </c>
      <c r="AA178" s="1">
        <f t="shared" si="72"/>
        <v>0</v>
      </c>
    </row>
    <row r="179" spans="1:27" ht="33" customHeight="1">
      <c r="A179" s="158" t="s">
        <v>475</v>
      </c>
      <c r="B179" s="160"/>
      <c r="C179" s="1">
        <f>SUM(C180:C190)</f>
        <v>291528299.35000002</v>
      </c>
      <c r="D179" s="1">
        <f t="shared" ref="D179:AA179" si="73">SUM(D180:D190)</f>
        <v>75573973.11999999</v>
      </c>
      <c r="E179" s="1">
        <f t="shared" si="73"/>
        <v>9080360.3999999985</v>
      </c>
      <c r="F179" s="1">
        <f t="shared" si="73"/>
        <v>23204362.32</v>
      </c>
      <c r="G179" s="1">
        <f t="shared" si="73"/>
        <v>3269246.05</v>
      </c>
      <c r="H179" s="1">
        <f t="shared" si="73"/>
        <v>14604866.129999999</v>
      </c>
      <c r="I179" s="1">
        <f t="shared" si="73"/>
        <v>14604866.129999999</v>
      </c>
      <c r="J179" s="1">
        <f t="shared" si="73"/>
        <v>10810272.09</v>
      </c>
      <c r="K179" s="1">
        <f t="shared" si="73"/>
        <v>0</v>
      </c>
      <c r="L179" s="1">
        <f t="shared" si="73"/>
        <v>0</v>
      </c>
      <c r="M179" s="1">
        <f t="shared" si="73"/>
        <v>15</v>
      </c>
      <c r="N179" s="1">
        <f t="shared" si="73"/>
        <v>94454955.75</v>
      </c>
      <c r="O179" s="1">
        <f t="shared" si="73"/>
        <v>4164.42</v>
      </c>
      <c r="P179" s="1">
        <f t="shared" si="73"/>
        <v>55903313.75999999</v>
      </c>
      <c r="Q179" s="1">
        <f t="shared" si="73"/>
        <v>0</v>
      </c>
      <c r="R179" s="1">
        <f t="shared" si="73"/>
        <v>0</v>
      </c>
      <c r="S179" s="1">
        <f t="shared" si="73"/>
        <v>2075.4</v>
      </c>
      <c r="T179" s="1">
        <f t="shared" si="73"/>
        <v>14293902.84</v>
      </c>
      <c r="U179" s="1">
        <f t="shared" si="73"/>
        <v>2489.1</v>
      </c>
      <c r="V179" s="1">
        <f t="shared" si="73"/>
        <v>30127045.880000003</v>
      </c>
      <c r="W179" s="1">
        <f t="shared" si="73"/>
        <v>0</v>
      </c>
      <c r="X179" s="1">
        <f t="shared" si="73"/>
        <v>0</v>
      </c>
      <c r="Y179" s="1">
        <f t="shared" si="73"/>
        <v>0</v>
      </c>
      <c r="Z179" s="1">
        <f t="shared" si="73"/>
        <v>21175108</v>
      </c>
      <c r="AA179" s="1">
        <f t="shared" si="73"/>
        <v>0</v>
      </c>
    </row>
    <row r="180" spans="1:27" ht="33" customHeight="1">
      <c r="A180" s="76">
        <v>1</v>
      </c>
      <c r="B180" s="121" t="s">
        <v>346</v>
      </c>
      <c r="C180" s="1">
        <v>14743540.85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2</v>
      </c>
      <c r="N180" s="1">
        <v>13672646.289999999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1070894.56</v>
      </c>
      <c r="AA180" s="1">
        <v>0</v>
      </c>
    </row>
    <row r="181" spans="1:27" ht="29.25" customHeight="1">
      <c r="A181" s="76">
        <v>2</v>
      </c>
      <c r="B181" s="121" t="s">
        <v>578</v>
      </c>
      <c r="C181" s="1">
        <v>14743540.85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2</v>
      </c>
      <c r="N181" s="1">
        <v>13672646.289999999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1070894.56</v>
      </c>
      <c r="AA181" s="1">
        <v>0</v>
      </c>
    </row>
    <row r="182" spans="1:27" ht="29.25" customHeight="1">
      <c r="A182" s="76">
        <v>3</v>
      </c>
      <c r="B182" s="121" t="s">
        <v>457</v>
      </c>
      <c r="C182" s="1">
        <v>24502211.390000001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4</v>
      </c>
      <c r="N182" s="1">
        <v>22722497.469999999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1779713.92</v>
      </c>
      <c r="AA182" s="1">
        <v>0</v>
      </c>
    </row>
    <row r="183" spans="1:27" ht="26.25" customHeight="1">
      <c r="A183" s="76">
        <v>4</v>
      </c>
      <c r="B183" s="121" t="s">
        <v>347</v>
      </c>
      <c r="C183" s="1">
        <v>18376658.550000001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3</v>
      </c>
      <c r="N183" s="1">
        <v>17041873.109999999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1334785.44</v>
      </c>
      <c r="AA183" s="1">
        <v>0</v>
      </c>
    </row>
    <row r="184" spans="1:27" ht="31.5" customHeight="1">
      <c r="A184" s="76">
        <v>5</v>
      </c>
      <c r="B184" s="121" t="s">
        <v>348</v>
      </c>
      <c r="C184" s="1">
        <v>29487081.710000001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4</v>
      </c>
      <c r="N184" s="1">
        <v>27345292.59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2141789.12</v>
      </c>
      <c r="AA184" s="1">
        <v>0</v>
      </c>
    </row>
    <row r="185" spans="1:27" ht="25.5" customHeight="1">
      <c r="A185" s="76">
        <v>6</v>
      </c>
      <c r="B185" s="121" t="s">
        <v>579</v>
      </c>
      <c r="C185" s="1">
        <v>35168882.719999999</v>
      </c>
      <c r="D185" s="1">
        <v>16374967.149999999</v>
      </c>
      <c r="E185" s="1">
        <v>3288352.36</v>
      </c>
      <c r="F185" s="1">
        <v>0</v>
      </c>
      <c r="G185" s="1">
        <v>0</v>
      </c>
      <c r="H185" s="1">
        <v>4775818</v>
      </c>
      <c r="I185" s="1">
        <v>4775818</v>
      </c>
      <c r="J185" s="1">
        <v>3534978.79</v>
      </c>
      <c r="K185" s="1">
        <v>0</v>
      </c>
      <c r="L185" s="1">
        <v>0</v>
      </c>
      <c r="M185" s="1">
        <v>0</v>
      </c>
      <c r="N185" s="1">
        <v>0</v>
      </c>
      <c r="O185" s="1">
        <v>1194.3499999999999</v>
      </c>
      <c r="P185" s="1">
        <v>16239429.809999999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2554485.7599999998</v>
      </c>
      <c r="AA185" s="1">
        <v>0</v>
      </c>
    </row>
    <row r="186" spans="1:27" ht="28.5" customHeight="1">
      <c r="A186" s="76">
        <v>7</v>
      </c>
      <c r="B186" s="121" t="s">
        <v>442</v>
      </c>
      <c r="C186" s="1">
        <v>18484354.550000001</v>
      </c>
      <c r="D186" s="1">
        <v>6725122.3200000003</v>
      </c>
      <c r="E186" s="1">
        <v>698147.33</v>
      </c>
      <c r="F186" s="1">
        <v>1884997.79</v>
      </c>
      <c r="G186" s="1">
        <v>1363569</v>
      </c>
      <c r="H186" s="1">
        <v>1013949.91</v>
      </c>
      <c r="I186" s="1">
        <v>1013949.91</v>
      </c>
      <c r="J186" s="1">
        <v>750508.38</v>
      </c>
      <c r="K186" s="1">
        <v>0</v>
      </c>
      <c r="L186" s="1">
        <v>0</v>
      </c>
      <c r="M186" s="1">
        <v>0</v>
      </c>
      <c r="N186" s="1">
        <v>0</v>
      </c>
      <c r="O186" s="1">
        <v>362.8</v>
      </c>
      <c r="P186" s="1">
        <v>4615373.62</v>
      </c>
      <c r="Q186" s="1">
        <v>0</v>
      </c>
      <c r="R186" s="1">
        <v>0</v>
      </c>
      <c r="S186" s="1">
        <v>0</v>
      </c>
      <c r="T186" s="1">
        <v>0</v>
      </c>
      <c r="U186" s="1">
        <v>479.3</v>
      </c>
      <c r="V186" s="1">
        <v>5801250.6899999995</v>
      </c>
      <c r="W186" s="1">
        <v>0</v>
      </c>
      <c r="X186" s="1">
        <v>0</v>
      </c>
      <c r="Y186" s="1">
        <v>0</v>
      </c>
      <c r="Z186" s="1">
        <v>1342607.92</v>
      </c>
      <c r="AA186" s="1">
        <v>0</v>
      </c>
    </row>
    <row r="187" spans="1:27" ht="30.75" customHeight="1">
      <c r="A187" s="76">
        <v>8</v>
      </c>
      <c r="B187" s="121" t="s">
        <v>544</v>
      </c>
      <c r="C187" s="1">
        <v>13356928.450000001</v>
      </c>
      <c r="D187" s="1">
        <v>3887628.16</v>
      </c>
      <c r="E187" s="1">
        <v>506222.18</v>
      </c>
      <c r="F187" s="1">
        <v>1366799.89</v>
      </c>
      <c r="G187" s="1">
        <v>0</v>
      </c>
      <c r="H187" s="1">
        <v>735208.62</v>
      </c>
      <c r="I187" s="1">
        <v>735208.62</v>
      </c>
      <c r="J187" s="1">
        <v>544188.85</v>
      </c>
      <c r="K187" s="1">
        <v>0</v>
      </c>
      <c r="L187" s="1">
        <v>0</v>
      </c>
      <c r="M187" s="1">
        <v>0</v>
      </c>
      <c r="N187" s="1">
        <v>0</v>
      </c>
      <c r="O187" s="1">
        <v>397.29</v>
      </c>
      <c r="P187" s="1">
        <v>5401903.1800000006</v>
      </c>
      <c r="Q187" s="1">
        <v>0</v>
      </c>
      <c r="R187" s="1">
        <v>0</v>
      </c>
      <c r="S187" s="1">
        <v>449.7</v>
      </c>
      <c r="T187" s="1">
        <v>3097218.9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970178.21000000008</v>
      </c>
      <c r="AA187" s="1">
        <v>0</v>
      </c>
    </row>
    <row r="188" spans="1:27" ht="31.5" customHeight="1">
      <c r="A188" s="76">
        <v>9</v>
      </c>
      <c r="B188" s="121" t="s">
        <v>350</v>
      </c>
      <c r="C188" s="1">
        <v>50932637.279999994</v>
      </c>
      <c r="D188" s="1">
        <v>20780774.199999999</v>
      </c>
      <c r="E188" s="1">
        <v>2491889.15</v>
      </c>
      <c r="F188" s="1">
        <v>8371944.9299999997</v>
      </c>
      <c r="G188" s="1">
        <v>0</v>
      </c>
      <c r="H188" s="1">
        <v>3619079.64</v>
      </c>
      <c r="I188" s="1">
        <v>3619079.64</v>
      </c>
      <c r="J188" s="1">
        <v>2678780.84</v>
      </c>
      <c r="K188" s="1">
        <v>0</v>
      </c>
      <c r="L188" s="1">
        <v>0</v>
      </c>
      <c r="M188" s="1">
        <v>0</v>
      </c>
      <c r="N188" s="1">
        <v>0</v>
      </c>
      <c r="O188" s="1">
        <v>1122</v>
      </c>
      <c r="P188" s="1">
        <v>15255695.77</v>
      </c>
      <c r="Q188" s="1">
        <v>0</v>
      </c>
      <c r="R188" s="1">
        <v>0</v>
      </c>
      <c r="S188" s="1">
        <v>1625.7</v>
      </c>
      <c r="T188" s="1">
        <v>11196683.939999999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3699483.37</v>
      </c>
      <c r="AA188" s="1">
        <v>0</v>
      </c>
    </row>
    <row r="189" spans="1:27" ht="31.5" customHeight="1">
      <c r="A189" s="76">
        <v>10</v>
      </c>
      <c r="B189" s="121" t="s">
        <v>577</v>
      </c>
      <c r="C189" s="1">
        <v>46374643.899999999</v>
      </c>
      <c r="D189" s="1">
        <v>17738544.52</v>
      </c>
      <c r="E189" s="1">
        <v>2095749.38</v>
      </c>
      <c r="F189" s="1">
        <v>7302367.54</v>
      </c>
      <c r="G189" s="1">
        <v>0</v>
      </c>
      <c r="H189" s="1">
        <v>3043748.51</v>
      </c>
      <c r="I189" s="1">
        <v>3043748.51</v>
      </c>
      <c r="J189" s="1">
        <v>2252930.58</v>
      </c>
      <c r="K189" s="1">
        <v>0</v>
      </c>
      <c r="L189" s="1">
        <v>0</v>
      </c>
      <c r="M189" s="1">
        <v>0</v>
      </c>
      <c r="N189" s="1">
        <v>0</v>
      </c>
      <c r="O189" s="1">
        <v>628.48</v>
      </c>
      <c r="P189" s="1">
        <v>8545365.129999999</v>
      </c>
      <c r="Q189" s="1">
        <v>0</v>
      </c>
      <c r="R189" s="1">
        <v>0</v>
      </c>
      <c r="S189" s="1">
        <v>0</v>
      </c>
      <c r="T189" s="1">
        <v>0</v>
      </c>
      <c r="U189" s="1">
        <v>1381.6</v>
      </c>
      <c r="V189" s="1">
        <v>16722319.949999999</v>
      </c>
      <c r="W189" s="1">
        <v>0</v>
      </c>
      <c r="X189" s="1">
        <v>0</v>
      </c>
      <c r="Y189" s="1">
        <v>0</v>
      </c>
      <c r="Z189" s="1">
        <v>3368414.3000000003</v>
      </c>
      <c r="AA189" s="1">
        <v>0</v>
      </c>
    </row>
    <row r="190" spans="1:27" ht="33.75" customHeight="1">
      <c r="A190" s="76">
        <v>11</v>
      </c>
      <c r="B190" s="121" t="s">
        <v>351</v>
      </c>
      <c r="C190" s="1">
        <v>25357819.100000001</v>
      </c>
      <c r="D190" s="1">
        <v>10066936.77</v>
      </c>
      <c r="E190" s="1">
        <v>0</v>
      </c>
      <c r="F190" s="1">
        <v>4278252.17</v>
      </c>
      <c r="G190" s="1">
        <v>1905677.05</v>
      </c>
      <c r="H190" s="1">
        <v>1417061.45</v>
      </c>
      <c r="I190" s="1">
        <v>1417061.45</v>
      </c>
      <c r="J190" s="1">
        <v>1048884.6500000001</v>
      </c>
      <c r="K190" s="1">
        <v>0</v>
      </c>
      <c r="L190" s="1">
        <v>0</v>
      </c>
      <c r="M190" s="1">
        <v>0</v>
      </c>
      <c r="N190" s="1">
        <v>0</v>
      </c>
      <c r="O190" s="1">
        <v>459.5</v>
      </c>
      <c r="P190" s="1">
        <v>5845546.25</v>
      </c>
      <c r="Q190" s="1">
        <v>0</v>
      </c>
      <c r="R190" s="1">
        <v>0</v>
      </c>
      <c r="S190" s="1">
        <v>0</v>
      </c>
      <c r="T190" s="1">
        <v>0</v>
      </c>
      <c r="U190" s="1">
        <v>628.20000000000005</v>
      </c>
      <c r="V190" s="1">
        <v>7603475.2400000002</v>
      </c>
      <c r="W190" s="1">
        <v>0</v>
      </c>
      <c r="X190" s="1">
        <v>0</v>
      </c>
      <c r="Y190" s="1">
        <v>0</v>
      </c>
      <c r="Z190" s="1">
        <v>1841860.84</v>
      </c>
      <c r="AA190" s="1">
        <v>0</v>
      </c>
    </row>
    <row r="191" spans="1:27" s="75" customFormat="1" ht="31.5" customHeight="1">
      <c r="A191" s="158" t="s">
        <v>153</v>
      </c>
      <c r="B191" s="160"/>
      <c r="C191" s="1">
        <f>C192</f>
        <v>7624155.1400000006</v>
      </c>
      <c r="D191" s="1">
        <f t="shared" ref="D191:AA191" si="74">D192</f>
        <v>0</v>
      </c>
      <c r="E191" s="1">
        <f t="shared" si="74"/>
        <v>0</v>
      </c>
      <c r="F191" s="1">
        <f t="shared" si="74"/>
        <v>0</v>
      </c>
      <c r="G191" s="1">
        <f t="shared" si="74"/>
        <v>0</v>
      </c>
      <c r="H191" s="1">
        <f t="shared" si="74"/>
        <v>0</v>
      </c>
      <c r="I191" s="1">
        <f t="shared" si="74"/>
        <v>0</v>
      </c>
      <c r="J191" s="1">
        <f t="shared" si="74"/>
        <v>0</v>
      </c>
      <c r="K191" s="1">
        <f t="shared" si="74"/>
        <v>0</v>
      </c>
      <c r="L191" s="1">
        <f t="shared" si="74"/>
        <v>0</v>
      </c>
      <c r="M191" s="1">
        <f t="shared" si="74"/>
        <v>0</v>
      </c>
      <c r="N191" s="1">
        <f t="shared" si="74"/>
        <v>0</v>
      </c>
      <c r="O191" s="1">
        <f t="shared" si="74"/>
        <v>520</v>
      </c>
      <c r="P191" s="1">
        <f t="shared" si="74"/>
        <v>7070375.9400000004</v>
      </c>
      <c r="Q191" s="1">
        <f t="shared" si="74"/>
        <v>0</v>
      </c>
      <c r="R191" s="1">
        <f t="shared" si="74"/>
        <v>0</v>
      </c>
      <c r="S191" s="1">
        <f t="shared" si="74"/>
        <v>0</v>
      </c>
      <c r="T191" s="1">
        <f t="shared" si="74"/>
        <v>0</v>
      </c>
      <c r="U191" s="1">
        <f t="shared" si="74"/>
        <v>0</v>
      </c>
      <c r="V191" s="1">
        <f t="shared" si="74"/>
        <v>0</v>
      </c>
      <c r="W191" s="1">
        <f t="shared" si="74"/>
        <v>0</v>
      </c>
      <c r="X191" s="1">
        <f t="shared" si="74"/>
        <v>0</v>
      </c>
      <c r="Y191" s="1">
        <f t="shared" si="74"/>
        <v>0</v>
      </c>
      <c r="Z191" s="1">
        <f t="shared" si="74"/>
        <v>553779.19999999995</v>
      </c>
      <c r="AA191" s="1">
        <f t="shared" si="74"/>
        <v>0</v>
      </c>
    </row>
    <row r="192" spans="1:27" s="75" customFormat="1" ht="31.5" customHeight="1">
      <c r="A192" s="76">
        <v>12</v>
      </c>
      <c r="B192" s="136" t="s">
        <v>712</v>
      </c>
      <c r="C192" s="8">
        <f>D192+L192+N192+P192+R192+T192+V192+X192+Y192+Z192+AA192</f>
        <v>7624155.1400000006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8">
        <v>0</v>
      </c>
      <c r="O192" s="8">
        <v>520</v>
      </c>
      <c r="P192" s="8">
        <v>7070375.9400000004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553779.19999999995</v>
      </c>
      <c r="AA192" s="8">
        <v>0</v>
      </c>
    </row>
    <row r="193" spans="1:27" s="75" customFormat="1" ht="30.75" customHeight="1">
      <c r="A193" s="158" t="s">
        <v>222</v>
      </c>
      <c r="B193" s="160"/>
      <c r="C193" s="8">
        <f>C194</f>
        <v>6509855.54</v>
      </c>
      <c r="D193" s="8">
        <f t="shared" ref="D193:AA193" si="75">D194</f>
        <v>0</v>
      </c>
      <c r="E193" s="8">
        <f t="shared" si="75"/>
        <v>0</v>
      </c>
      <c r="F193" s="8">
        <f t="shared" si="75"/>
        <v>0</v>
      </c>
      <c r="G193" s="8">
        <f t="shared" si="75"/>
        <v>0</v>
      </c>
      <c r="H193" s="8">
        <f t="shared" si="75"/>
        <v>0</v>
      </c>
      <c r="I193" s="8">
        <f t="shared" si="75"/>
        <v>0</v>
      </c>
      <c r="J193" s="8">
        <f t="shared" si="75"/>
        <v>0</v>
      </c>
      <c r="K193" s="8">
        <f t="shared" si="75"/>
        <v>0</v>
      </c>
      <c r="L193" s="8">
        <f t="shared" si="75"/>
        <v>0</v>
      </c>
      <c r="M193" s="8">
        <f t="shared" si="75"/>
        <v>0</v>
      </c>
      <c r="N193" s="8">
        <f t="shared" si="75"/>
        <v>0</v>
      </c>
      <c r="O193" s="8">
        <f t="shared" si="75"/>
        <v>444</v>
      </c>
      <c r="P193" s="8">
        <f t="shared" si="75"/>
        <v>6037013.2999999998</v>
      </c>
      <c r="Q193" s="8">
        <f t="shared" si="75"/>
        <v>0</v>
      </c>
      <c r="R193" s="8">
        <f t="shared" si="75"/>
        <v>0</v>
      </c>
      <c r="S193" s="8">
        <f t="shared" si="75"/>
        <v>0</v>
      </c>
      <c r="T193" s="8">
        <f t="shared" si="75"/>
        <v>0</v>
      </c>
      <c r="U193" s="8">
        <f t="shared" si="75"/>
        <v>0</v>
      </c>
      <c r="V193" s="8">
        <f t="shared" si="75"/>
        <v>0</v>
      </c>
      <c r="W193" s="8">
        <f t="shared" si="75"/>
        <v>0</v>
      </c>
      <c r="X193" s="8">
        <f t="shared" si="75"/>
        <v>0</v>
      </c>
      <c r="Y193" s="8">
        <f t="shared" si="75"/>
        <v>0</v>
      </c>
      <c r="Z193" s="8">
        <f t="shared" si="75"/>
        <v>472842.23999999999</v>
      </c>
      <c r="AA193" s="8">
        <f t="shared" si="75"/>
        <v>0</v>
      </c>
    </row>
    <row r="194" spans="1:27" s="75" customFormat="1" ht="33" customHeight="1">
      <c r="A194" s="76">
        <v>13</v>
      </c>
      <c r="B194" s="20" t="s">
        <v>870</v>
      </c>
      <c r="C194" s="1">
        <f>D194+L194+N194+P194+R194+T194+V194+X194+Y194+Z194+AA194</f>
        <v>6509855.54</v>
      </c>
      <c r="D194" s="1">
        <f>E194+F194+G194+H194+I194+J194</f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18">
        <v>444</v>
      </c>
      <c r="P194" s="8">
        <v>6037013.2999999998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8">
        <v>472842.23999999999</v>
      </c>
      <c r="AA194" s="2">
        <v>0</v>
      </c>
    </row>
    <row r="195" spans="1:27" s="75" customFormat="1" ht="38.25" customHeight="1">
      <c r="A195" s="158" t="s">
        <v>130</v>
      </c>
      <c r="B195" s="160"/>
      <c r="C195" s="1">
        <f>SUM(C196:C199)</f>
        <v>32049879.420000002</v>
      </c>
      <c r="D195" s="1">
        <f t="shared" ref="D195:AA195" si="76">SUM(D196:D199)</f>
        <v>1049966.52</v>
      </c>
      <c r="E195" s="1">
        <f t="shared" si="76"/>
        <v>1049966.52</v>
      </c>
      <c r="F195" s="1">
        <f t="shared" si="76"/>
        <v>0</v>
      </c>
      <c r="G195" s="1">
        <f t="shared" si="76"/>
        <v>0</v>
      </c>
      <c r="H195" s="1">
        <f t="shared" si="76"/>
        <v>0</v>
      </c>
      <c r="I195" s="1">
        <f t="shared" si="76"/>
        <v>0</v>
      </c>
      <c r="J195" s="1">
        <f t="shared" si="76"/>
        <v>0</v>
      </c>
      <c r="K195" s="1">
        <f t="shared" si="76"/>
        <v>0</v>
      </c>
      <c r="L195" s="1">
        <f t="shared" si="76"/>
        <v>0</v>
      </c>
      <c r="M195" s="1">
        <f t="shared" si="76"/>
        <v>0</v>
      </c>
      <c r="N195" s="1">
        <f t="shared" si="76"/>
        <v>0</v>
      </c>
      <c r="O195" s="1">
        <f t="shared" si="76"/>
        <v>2198.63</v>
      </c>
      <c r="P195" s="1">
        <f t="shared" si="76"/>
        <v>28671975.41</v>
      </c>
      <c r="Q195" s="1">
        <f t="shared" si="76"/>
        <v>0</v>
      </c>
      <c r="R195" s="1">
        <f t="shared" si="76"/>
        <v>0</v>
      </c>
      <c r="S195" s="1">
        <f t="shared" si="76"/>
        <v>0</v>
      </c>
      <c r="T195" s="1">
        <f t="shared" si="76"/>
        <v>0</v>
      </c>
      <c r="U195" s="1">
        <f t="shared" si="76"/>
        <v>0</v>
      </c>
      <c r="V195" s="1">
        <f t="shared" si="76"/>
        <v>0</v>
      </c>
      <c r="W195" s="1">
        <f t="shared" si="76"/>
        <v>0</v>
      </c>
      <c r="X195" s="1">
        <f t="shared" si="76"/>
        <v>0</v>
      </c>
      <c r="Y195" s="1">
        <f t="shared" si="76"/>
        <v>0</v>
      </c>
      <c r="Z195" s="1">
        <f t="shared" si="76"/>
        <v>2327937.4899999998</v>
      </c>
      <c r="AA195" s="1">
        <f t="shared" si="76"/>
        <v>0</v>
      </c>
    </row>
    <row r="196" spans="1:27" s="75" customFormat="1" ht="33.75" customHeight="1">
      <c r="A196" s="120">
        <v>14</v>
      </c>
      <c r="B196" s="67" t="s">
        <v>131</v>
      </c>
      <c r="C196" s="37">
        <f>P196+Z196</f>
        <v>10872150.970000001</v>
      </c>
      <c r="D196" s="37">
        <f>SUM(E196:I196)</f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37">
        <v>792.55</v>
      </c>
      <c r="P196" s="37">
        <v>10082454.15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37">
        <v>789696.82</v>
      </c>
      <c r="AA196" s="2">
        <v>0</v>
      </c>
    </row>
    <row r="197" spans="1:27" s="75" customFormat="1" ht="29.25" customHeight="1">
      <c r="A197" s="120">
        <v>15</v>
      </c>
      <c r="B197" s="67" t="s">
        <v>716</v>
      </c>
      <c r="C197" s="37">
        <f>D197+P197+Z197</f>
        <v>11758793.109999999</v>
      </c>
      <c r="D197" s="37">
        <f>SUM(E197:J197)</f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37">
        <v>802</v>
      </c>
      <c r="P197" s="37">
        <v>10904695.189999999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37">
        <v>854097.92000000004</v>
      </c>
      <c r="AA197" s="2">
        <v>0</v>
      </c>
    </row>
    <row r="198" spans="1:27" s="75" customFormat="1" ht="30.75" customHeight="1">
      <c r="A198" s="120">
        <v>16</v>
      </c>
      <c r="B198" s="67" t="s">
        <v>850</v>
      </c>
      <c r="C198" s="37">
        <f>D198+P198+Z198</f>
        <v>8286731.3800000008</v>
      </c>
      <c r="D198" s="37">
        <f>SUM(E198:J198)</f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37">
        <v>604.08000000000004</v>
      </c>
      <c r="P198" s="37">
        <v>7684826.0700000003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37">
        <v>601905.31000000006</v>
      </c>
      <c r="AA198" s="2">
        <v>0</v>
      </c>
    </row>
    <row r="199" spans="1:27" s="74" customFormat="1" ht="36" customHeight="1">
      <c r="A199" s="120">
        <v>17</v>
      </c>
      <c r="B199" s="67" t="s">
        <v>714</v>
      </c>
      <c r="C199" s="37">
        <f>D199+P199+Z199</f>
        <v>1132203.96</v>
      </c>
      <c r="D199" s="37">
        <f>SUM(E199:J199)</f>
        <v>1049966.52</v>
      </c>
      <c r="E199" s="37">
        <v>1049966.52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104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37">
        <v>82237.440000000002</v>
      </c>
      <c r="AA199" s="2">
        <v>0</v>
      </c>
    </row>
    <row r="200" spans="1:27" s="74" customFormat="1" ht="31.5" customHeight="1">
      <c r="A200" s="158" t="s">
        <v>73</v>
      </c>
      <c r="B200" s="160"/>
      <c r="C200" s="37">
        <f>C201</f>
        <v>28644390.699999999</v>
      </c>
      <c r="D200" s="37">
        <f t="shared" ref="D200:AA200" si="77">D201</f>
        <v>0</v>
      </c>
      <c r="E200" s="37">
        <f t="shared" si="77"/>
        <v>0</v>
      </c>
      <c r="F200" s="37">
        <f t="shared" si="77"/>
        <v>0</v>
      </c>
      <c r="G200" s="37">
        <f t="shared" si="77"/>
        <v>0</v>
      </c>
      <c r="H200" s="37">
        <f t="shared" si="77"/>
        <v>0</v>
      </c>
      <c r="I200" s="37">
        <f t="shared" si="77"/>
        <v>0</v>
      </c>
      <c r="J200" s="37">
        <f t="shared" si="77"/>
        <v>0</v>
      </c>
      <c r="K200" s="37">
        <f t="shared" si="77"/>
        <v>0</v>
      </c>
      <c r="L200" s="37">
        <f t="shared" si="77"/>
        <v>0</v>
      </c>
      <c r="M200" s="37">
        <f t="shared" si="77"/>
        <v>0</v>
      </c>
      <c r="N200" s="37">
        <f t="shared" si="77"/>
        <v>0</v>
      </c>
      <c r="O200" s="37">
        <f t="shared" si="77"/>
        <v>1953.67</v>
      </c>
      <c r="P200" s="37">
        <f t="shared" si="77"/>
        <v>26563810.300000001</v>
      </c>
      <c r="Q200" s="37">
        <f t="shared" si="77"/>
        <v>0</v>
      </c>
      <c r="R200" s="37">
        <f t="shared" si="77"/>
        <v>0</v>
      </c>
      <c r="S200" s="37">
        <f t="shared" si="77"/>
        <v>0</v>
      </c>
      <c r="T200" s="37">
        <f t="shared" si="77"/>
        <v>0</v>
      </c>
      <c r="U200" s="37">
        <f t="shared" si="77"/>
        <v>0</v>
      </c>
      <c r="V200" s="37">
        <f t="shared" si="77"/>
        <v>0</v>
      </c>
      <c r="W200" s="37">
        <f t="shared" si="77"/>
        <v>0</v>
      </c>
      <c r="X200" s="37">
        <f t="shared" si="77"/>
        <v>0</v>
      </c>
      <c r="Y200" s="37">
        <f t="shared" si="77"/>
        <v>0</v>
      </c>
      <c r="Z200" s="37">
        <f t="shared" si="77"/>
        <v>2080580.4</v>
      </c>
      <c r="AA200" s="37">
        <f t="shared" si="77"/>
        <v>0</v>
      </c>
    </row>
    <row r="201" spans="1:27" s="74" customFormat="1" ht="36.75" customHeight="1">
      <c r="A201" s="76">
        <v>18</v>
      </c>
      <c r="B201" s="121" t="s">
        <v>216</v>
      </c>
      <c r="C201" s="1">
        <f>D201+L201+N201+P201+R201+T201+V201+X201+Y201+Z201+AA201</f>
        <v>28644390.699999999</v>
      </c>
      <c r="D201" s="1">
        <f>E201+F201+G201+H201+I201+J201</f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8">
        <v>1953.67</v>
      </c>
      <c r="P201" s="1">
        <v>26563810.300000001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8">
        <v>2080580.4</v>
      </c>
      <c r="AA201" s="2">
        <v>0</v>
      </c>
    </row>
    <row r="202" spans="1:27" s="74" customFormat="1" ht="34.5" customHeight="1">
      <c r="A202" s="158" t="s">
        <v>142</v>
      </c>
      <c r="B202" s="160"/>
      <c r="C202" s="37">
        <f>C203</f>
        <v>8916659.0500000007</v>
      </c>
      <c r="D202" s="37">
        <f t="shared" ref="D202:AA202" si="78">D203</f>
        <v>0</v>
      </c>
      <c r="E202" s="37">
        <f t="shared" si="78"/>
        <v>0</v>
      </c>
      <c r="F202" s="37">
        <f t="shared" si="78"/>
        <v>0</v>
      </c>
      <c r="G202" s="37">
        <f t="shared" si="78"/>
        <v>0</v>
      </c>
      <c r="H202" s="37">
        <f t="shared" si="78"/>
        <v>0</v>
      </c>
      <c r="I202" s="37">
        <f t="shared" si="78"/>
        <v>0</v>
      </c>
      <c r="J202" s="37">
        <f t="shared" si="78"/>
        <v>0</v>
      </c>
      <c r="K202" s="37">
        <f t="shared" si="78"/>
        <v>0</v>
      </c>
      <c r="L202" s="37">
        <f t="shared" si="78"/>
        <v>0</v>
      </c>
      <c r="M202" s="37">
        <f t="shared" si="78"/>
        <v>0</v>
      </c>
      <c r="N202" s="37">
        <f t="shared" si="78"/>
        <v>0</v>
      </c>
      <c r="O202" s="37">
        <f t="shared" si="78"/>
        <v>650</v>
      </c>
      <c r="P202" s="37">
        <f t="shared" si="78"/>
        <v>8268999.0499999998</v>
      </c>
      <c r="Q202" s="37">
        <f t="shared" si="78"/>
        <v>0</v>
      </c>
      <c r="R202" s="37">
        <f t="shared" si="78"/>
        <v>0</v>
      </c>
      <c r="S202" s="37">
        <f t="shared" si="78"/>
        <v>0</v>
      </c>
      <c r="T202" s="37">
        <f t="shared" si="78"/>
        <v>0</v>
      </c>
      <c r="U202" s="37">
        <f t="shared" si="78"/>
        <v>0</v>
      </c>
      <c r="V202" s="37">
        <f t="shared" si="78"/>
        <v>0</v>
      </c>
      <c r="W202" s="37">
        <f t="shared" si="78"/>
        <v>0</v>
      </c>
      <c r="X202" s="37">
        <f t="shared" si="78"/>
        <v>0</v>
      </c>
      <c r="Y202" s="37">
        <f t="shared" si="78"/>
        <v>0</v>
      </c>
      <c r="Z202" s="37">
        <f t="shared" si="78"/>
        <v>647660</v>
      </c>
      <c r="AA202" s="37">
        <f t="shared" si="78"/>
        <v>0</v>
      </c>
    </row>
    <row r="203" spans="1:27" s="74" customFormat="1" ht="34.5" customHeight="1">
      <c r="A203" s="76">
        <v>19</v>
      </c>
      <c r="B203" s="121" t="s">
        <v>717</v>
      </c>
      <c r="C203" s="63">
        <f>D203+L203+N203+P203+R203+T203+V203+X203+Y203+Z203+AA203</f>
        <v>8916659.0500000007</v>
      </c>
      <c r="D203" s="1">
        <f>E203+F203+G203+H203+I203+J203</f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3">
        <v>0</v>
      </c>
      <c r="O203" s="3">
        <v>650</v>
      </c>
      <c r="P203" s="63">
        <v>8268999.0499999998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63">
        <v>647660</v>
      </c>
      <c r="AA203" s="2">
        <v>0</v>
      </c>
    </row>
    <row r="204" spans="1:27" s="74" customFormat="1" ht="39" customHeight="1">
      <c r="A204" s="158" t="s">
        <v>284</v>
      </c>
      <c r="B204" s="160"/>
      <c r="C204" s="63">
        <f>SUM(C205:C210)</f>
        <v>57303746.829999998</v>
      </c>
      <c r="D204" s="37">
        <f t="shared" ref="D204:AA204" si="79">SUM(D205:D210)</f>
        <v>0</v>
      </c>
      <c r="E204" s="37">
        <f t="shared" si="79"/>
        <v>0</v>
      </c>
      <c r="F204" s="37">
        <f t="shared" si="79"/>
        <v>0</v>
      </c>
      <c r="G204" s="37">
        <f t="shared" si="79"/>
        <v>0</v>
      </c>
      <c r="H204" s="37">
        <f t="shared" si="79"/>
        <v>0</v>
      </c>
      <c r="I204" s="37">
        <f t="shared" si="79"/>
        <v>0</v>
      </c>
      <c r="J204" s="37">
        <f t="shared" si="79"/>
        <v>0</v>
      </c>
      <c r="K204" s="37">
        <f t="shared" si="79"/>
        <v>0</v>
      </c>
      <c r="L204" s="37">
        <f t="shared" si="79"/>
        <v>0</v>
      </c>
      <c r="M204" s="37">
        <f t="shared" si="79"/>
        <v>3</v>
      </c>
      <c r="N204" s="63">
        <f t="shared" si="79"/>
        <v>17041873.109999999</v>
      </c>
      <c r="O204" s="37">
        <f t="shared" si="79"/>
        <v>2897.7</v>
      </c>
      <c r="P204" s="63">
        <f t="shared" si="79"/>
        <v>36099665.409999996</v>
      </c>
      <c r="Q204" s="37">
        <f t="shared" si="79"/>
        <v>0</v>
      </c>
      <c r="R204" s="37">
        <f t="shared" si="79"/>
        <v>0</v>
      </c>
      <c r="S204" s="37">
        <f t="shared" si="79"/>
        <v>0</v>
      </c>
      <c r="T204" s="37">
        <f t="shared" si="79"/>
        <v>0</v>
      </c>
      <c r="U204" s="37">
        <f t="shared" si="79"/>
        <v>0</v>
      </c>
      <c r="V204" s="37">
        <f t="shared" si="79"/>
        <v>0</v>
      </c>
      <c r="W204" s="37">
        <f t="shared" si="79"/>
        <v>0</v>
      </c>
      <c r="X204" s="37">
        <f t="shared" si="79"/>
        <v>0</v>
      </c>
      <c r="Y204" s="37">
        <f t="shared" si="79"/>
        <v>0</v>
      </c>
      <c r="Z204" s="63">
        <f t="shared" si="79"/>
        <v>4162208.3099999996</v>
      </c>
      <c r="AA204" s="37">
        <f t="shared" si="79"/>
        <v>0</v>
      </c>
    </row>
    <row r="205" spans="1:27" s="74" customFormat="1" ht="30.75" customHeight="1">
      <c r="A205" s="76">
        <v>20</v>
      </c>
      <c r="B205" s="121" t="s">
        <v>295</v>
      </c>
      <c r="C205" s="63">
        <v>6392560.8399999999</v>
      </c>
      <c r="D205" s="1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3">
        <v>436</v>
      </c>
      <c r="P205" s="63">
        <v>5928238.2800000003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63">
        <v>464322.56</v>
      </c>
      <c r="AA205" s="2">
        <v>0</v>
      </c>
    </row>
    <row r="206" spans="1:27" s="74" customFormat="1" ht="29.25" customHeight="1">
      <c r="A206" s="76">
        <v>21</v>
      </c>
      <c r="B206" s="121" t="s">
        <v>463</v>
      </c>
      <c r="C206" s="63">
        <v>5781116.4300000006</v>
      </c>
      <c r="D206" s="1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3">
        <v>637</v>
      </c>
      <c r="P206" s="63">
        <v>5361206.03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63">
        <v>419910.40000000002</v>
      </c>
      <c r="AA206" s="2">
        <v>0</v>
      </c>
    </row>
    <row r="207" spans="1:27" s="74" customFormat="1" ht="33.75" customHeight="1">
      <c r="A207" s="76">
        <v>22</v>
      </c>
      <c r="B207" s="121" t="s">
        <v>296</v>
      </c>
      <c r="C207" s="63">
        <v>11289614.34</v>
      </c>
      <c r="D207" s="1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3">
        <v>770</v>
      </c>
      <c r="P207" s="63">
        <v>10469595.140000001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63">
        <v>820019.19999999995</v>
      </c>
      <c r="AA207" s="2">
        <v>0</v>
      </c>
    </row>
    <row r="208" spans="1:27" s="74" customFormat="1" ht="39" customHeight="1">
      <c r="A208" s="76">
        <v>23</v>
      </c>
      <c r="B208" s="121" t="s">
        <v>297</v>
      </c>
      <c r="C208" s="63">
        <v>9119619.8899999987</v>
      </c>
      <c r="D208" s="1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3">
        <v>622</v>
      </c>
      <c r="P208" s="63">
        <v>8457257.3699999992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63">
        <v>662362.52</v>
      </c>
      <c r="AA208" s="2">
        <v>0</v>
      </c>
    </row>
    <row r="209" spans="1:27" s="74" customFormat="1" ht="37.5">
      <c r="A209" s="76">
        <v>24</v>
      </c>
      <c r="B209" s="121" t="s">
        <v>298</v>
      </c>
      <c r="C209" s="63">
        <v>6344176.7800000003</v>
      </c>
      <c r="D209" s="1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3">
        <v>432.7</v>
      </c>
      <c r="P209" s="63">
        <v>5883368.5899999999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63">
        <v>460808.19</v>
      </c>
      <c r="AA209" s="2">
        <v>0</v>
      </c>
    </row>
    <row r="210" spans="1:27" s="74" customFormat="1" ht="34.5" customHeight="1">
      <c r="A210" s="76">
        <v>25</v>
      </c>
      <c r="B210" s="121" t="s">
        <v>294</v>
      </c>
      <c r="C210" s="63">
        <v>18376658.550000001</v>
      </c>
      <c r="D210" s="1">
        <v>0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3</v>
      </c>
      <c r="N210" s="63">
        <v>17041873.109999999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63">
        <v>1334785.44</v>
      </c>
      <c r="AA210" s="2">
        <v>0</v>
      </c>
    </row>
    <row r="211" spans="1:27" s="75" customFormat="1" ht="38.25" customHeight="1">
      <c r="A211" s="158" t="s">
        <v>116</v>
      </c>
      <c r="B211" s="160"/>
      <c r="C211" s="1">
        <f>C212</f>
        <v>5944476.0800000001</v>
      </c>
      <c r="D211" s="1">
        <f t="shared" ref="D211:AA211" si="80">D212</f>
        <v>0</v>
      </c>
      <c r="E211" s="1">
        <f t="shared" si="80"/>
        <v>0</v>
      </c>
      <c r="F211" s="1">
        <f t="shared" si="80"/>
        <v>0</v>
      </c>
      <c r="G211" s="1">
        <f t="shared" si="80"/>
        <v>0</v>
      </c>
      <c r="H211" s="1">
        <f t="shared" si="80"/>
        <v>0</v>
      </c>
      <c r="I211" s="1">
        <f t="shared" si="80"/>
        <v>0</v>
      </c>
      <c r="J211" s="1">
        <f t="shared" si="80"/>
        <v>0</v>
      </c>
      <c r="K211" s="1">
        <f t="shared" si="80"/>
        <v>0</v>
      </c>
      <c r="L211" s="1">
        <f t="shared" si="80"/>
        <v>0</v>
      </c>
      <c r="M211" s="1">
        <f t="shared" si="80"/>
        <v>0</v>
      </c>
      <c r="N211" s="1">
        <f t="shared" si="80"/>
        <v>0</v>
      </c>
      <c r="O211" s="1">
        <f t="shared" si="80"/>
        <v>655</v>
      </c>
      <c r="P211" s="1">
        <f t="shared" si="80"/>
        <v>5512700.0800000001</v>
      </c>
      <c r="Q211" s="1">
        <f t="shared" si="80"/>
        <v>0</v>
      </c>
      <c r="R211" s="1">
        <f t="shared" si="80"/>
        <v>0</v>
      </c>
      <c r="S211" s="1">
        <f t="shared" si="80"/>
        <v>0</v>
      </c>
      <c r="T211" s="1">
        <f t="shared" si="80"/>
        <v>0</v>
      </c>
      <c r="U211" s="1">
        <f t="shared" si="80"/>
        <v>0</v>
      </c>
      <c r="V211" s="1">
        <f t="shared" si="80"/>
        <v>0</v>
      </c>
      <c r="W211" s="1">
        <f t="shared" si="80"/>
        <v>0</v>
      </c>
      <c r="X211" s="1">
        <f t="shared" si="80"/>
        <v>0</v>
      </c>
      <c r="Y211" s="1">
        <f t="shared" si="80"/>
        <v>0</v>
      </c>
      <c r="Z211" s="1">
        <f t="shared" si="80"/>
        <v>431776</v>
      </c>
      <c r="AA211" s="1">
        <f t="shared" si="80"/>
        <v>0</v>
      </c>
    </row>
    <row r="212" spans="1:27" s="75" customFormat="1" ht="30.75" customHeight="1">
      <c r="A212" s="76">
        <v>26</v>
      </c>
      <c r="B212" s="121" t="s">
        <v>119</v>
      </c>
      <c r="C212" s="1">
        <f>D212+L212+N212+P212+R212+T212+V212+X212+Y212+Z212+AA212</f>
        <v>5944476.0800000001</v>
      </c>
      <c r="D212" s="1">
        <f>SUM(E212:J212)</f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3">
        <v>655</v>
      </c>
      <c r="P212" s="4">
        <v>5512700.0800000001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1">
        <v>431776</v>
      </c>
      <c r="AA212" s="2">
        <v>0</v>
      </c>
    </row>
    <row r="213" spans="1:27" s="75" customFormat="1" ht="33.75" customHeight="1">
      <c r="A213" s="158" t="s">
        <v>271</v>
      </c>
      <c r="B213" s="160"/>
      <c r="C213" s="1">
        <f>C214</f>
        <v>3373376.73</v>
      </c>
      <c r="D213" s="1">
        <f t="shared" ref="D213:AA213" si="81">D214</f>
        <v>0</v>
      </c>
      <c r="E213" s="1">
        <f t="shared" si="81"/>
        <v>0</v>
      </c>
      <c r="F213" s="1">
        <f t="shared" si="81"/>
        <v>0</v>
      </c>
      <c r="G213" s="1">
        <f t="shared" si="81"/>
        <v>0</v>
      </c>
      <c r="H213" s="1">
        <f t="shared" si="81"/>
        <v>0</v>
      </c>
      <c r="I213" s="1">
        <f t="shared" si="81"/>
        <v>0</v>
      </c>
      <c r="J213" s="1">
        <f t="shared" si="81"/>
        <v>0</v>
      </c>
      <c r="K213" s="1">
        <f t="shared" si="81"/>
        <v>0</v>
      </c>
      <c r="L213" s="1">
        <f t="shared" si="81"/>
        <v>0</v>
      </c>
      <c r="M213" s="1">
        <f t="shared" si="81"/>
        <v>0</v>
      </c>
      <c r="N213" s="1">
        <f t="shared" si="81"/>
        <v>0</v>
      </c>
      <c r="O213" s="1">
        <f t="shared" si="81"/>
        <v>371.7</v>
      </c>
      <c r="P213" s="1">
        <f t="shared" si="81"/>
        <v>3128352.09</v>
      </c>
      <c r="Q213" s="1">
        <f t="shared" si="81"/>
        <v>0</v>
      </c>
      <c r="R213" s="1">
        <f t="shared" si="81"/>
        <v>0</v>
      </c>
      <c r="S213" s="1">
        <f t="shared" si="81"/>
        <v>0</v>
      </c>
      <c r="T213" s="1">
        <f t="shared" si="81"/>
        <v>0</v>
      </c>
      <c r="U213" s="1">
        <f t="shared" si="81"/>
        <v>0</v>
      </c>
      <c r="V213" s="1">
        <f t="shared" si="81"/>
        <v>0</v>
      </c>
      <c r="W213" s="1">
        <f t="shared" si="81"/>
        <v>0</v>
      </c>
      <c r="X213" s="1">
        <f t="shared" si="81"/>
        <v>0</v>
      </c>
      <c r="Y213" s="1">
        <f t="shared" si="81"/>
        <v>0</v>
      </c>
      <c r="Z213" s="1">
        <f t="shared" si="81"/>
        <v>245024.64000000001</v>
      </c>
      <c r="AA213" s="1">
        <f t="shared" si="81"/>
        <v>0</v>
      </c>
    </row>
    <row r="214" spans="1:27" s="75" customFormat="1" ht="24.75" customHeight="1">
      <c r="A214" s="76">
        <v>27</v>
      </c>
      <c r="B214" s="121" t="s">
        <v>276</v>
      </c>
      <c r="C214" s="1">
        <f>D214+L214+N214+P214+R214+T214+V214+X214+Y214+Z214+AA214</f>
        <v>3373376.73</v>
      </c>
      <c r="D214" s="1">
        <f>SUM(E214:J214)</f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3">
        <v>371.7</v>
      </c>
      <c r="P214" s="4">
        <v>3128352.09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1">
        <v>245024.64000000001</v>
      </c>
      <c r="AA214" s="2">
        <v>0</v>
      </c>
    </row>
    <row r="215" spans="1:27" s="111" customFormat="1" ht="38.25" customHeight="1">
      <c r="A215" s="158" t="s">
        <v>76</v>
      </c>
      <c r="B215" s="160"/>
      <c r="C215" s="1">
        <f>SUM(C216:C220)</f>
        <v>27067512.969999999</v>
      </c>
      <c r="D215" s="1">
        <f t="shared" ref="D215:AA215" si="82">SUM(D216:D220)</f>
        <v>0</v>
      </c>
      <c r="E215" s="1">
        <f t="shared" si="82"/>
        <v>0</v>
      </c>
      <c r="F215" s="1">
        <f t="shared" si="82"/>
        <v>0</v>
      </c>
      <c r="G215" s="1">
        <f t="shared" si="82"/>
        <v>0</v>
      </c>
      <c r="H215" s="1">
        <f t="shared" si="82"/>
        <v>0</v>
      </c>
      <c r="I215" s="1">
        <f t="shared" si="82"/>
        <v>0</v>
      </c>
      <c r="J215" s="1">
        <f t="shared" si="82"/>
        <v>0</v>
      </c>
      <c r="K215" s="1">
        <f t="shared" si="82"/>
        <v>0</v>
      </c>
      <c r="L215" s="1">
        <f t="shared" si="82"/>
        <v>0</v>
      </c>
      <c r="M215" s="1">
        <f t="shared" si="82"/>
        <v>0</v>
      </c>
      <c r="N215" s="1">
        <f t="shared" si="82"/>
        <v>0</v>
      </c>
      <c r="O215" s="1">
        <f t="shared" si="82"/>
        <v>2440.8000000000002</v>
      </c>
      <c r="P215" s="1">
        <f t="shared" si="82"/>
        <v>25101468.809999999</v>
      </c>
      <c r="Q215" s="1">
        <f t="shared" si="82"/>
        <v>0</v>
      </c>
      <c r="R215" s="1">
        <f t="shared" si="82"/>
        <v>0</v>
      </c>
      <c r="S215" s="1">
        <f t="shared" si="82"/>
        <v>0</v>
      </c>
      <c r="T215" s="1">
        <f t="shared" si="82"/>
        <v>0</v>
      </c>
      <c r="U215" s="1">
        <f t="shared" si="82"/>
        <v>0</v>
      </c>
      <c r="V215" s="1">
        <f t="shared" si="82"/>
        <v>0</v>
      </c>
      <c r="W215" s="1">
        <f t="shared" si="82"/>
        <v>0</v>
      </c>
      <c r="X215" s="1">
        <f t="shared" si="82"/>
        <v>0</v>
      </c>
      <c r="Y215" s="1">
        <f t="shared" si="82"/>
        <v>0</v>
      </c>
      <c r="Z215" s="1">
        <f t="shared" si="82"/>
        <v>1966044.1600000001</v>
      </c>
      <c r="AA215" s="1">
        <f t="shared" si="82"/>
        <v>0</v>
      </c>
    </row>
    <row r="216" spans="1:27" s="75" customFormat="1" ht="33" customHeight="1">
      <c r="A216" s="120">
        <v>28</v>
      </c>
      <c r="B216" s="121" t="s">
        <v>84</v>
      </c>
      <c r="C216" s="1">
        <f t="shared" ref="C216" si="83">D216+L216+N216+P216+R216+T216+V216+X216+Y216+Z216+AA216</f>
        <v>3165546.96</v>
      </c>
      <c r="D216" s="1">
        <f t="shared" ref="D216" si="84">E216+F216+G216+H216+I216+J216</f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3">
        <v>348.8</v>
      </c>
      <c r="P216" s="4">
        <v>2935618</v>
      </c>
      <c r="Q216" s="3">
        <v>0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  <c r="Z216" s="1">
        <v>229928.95999999999</v>
      </c>
      <c r="AA216" s="2">
        <v>0</v>
      </c>
    </row>
    <row r="217" spans="1:27" s="75" customFormat="1" ht="33.75" customHeight="1">
      <c r="A217" s="120">
        <v>29</v>
      </c>
      <c r="B217" s="121" t="s">
        <v>85</v>
      </c>
      <c r="C217" s="1">
        <f t="shared" ref="C217:C218" si="85">D217+L217+N217+P217+R217+T217+V217+X217+Y217+Z217+AA217</f>
        <v>3267192.96</v>
      </c>
      <c r="D217" s="1">
        <f t="shared" ref="D217:D222" si="86">E217+F217+G217+H217+I217+J217</f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3">
        <v>360</v>
      </c>
      <c r="P217" s="4">
        <v>3029880.96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3">
        <v>0</v>
      </c>
      <c r="Z217" s="1">
        <v>237312</v>
      </c>
      <c r="AA217" s="2">
        <v>0</v>
      </c>
    </row>
    <row r="218" spans="1:27" s="75" customFormat="1" ht="33.75" customHeight="1">
      <c r="A218" s="120">
        <v>30</v>
      </c>
      <c r="B218" s="121" t="s">
        <v>851</v>
      </c>
      <c r="C218" s="1">
        <f t="shared" si="85"/>
        <v>7037681.6600000001</v>
      </c>
      <c r="D218" s="1">
        <f t="shared" si="86"/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3">
        <v>480</v>
      </c>
      <c r="P218" s="4">
        <v>6526500.8600000003</v>
      </c>
      <c r="Q218" s="3">
        <v>0</v>
      </c>
      <c r="R218" s="3">
        <v>0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1">
        <v>511180.79999999999</v>
      </c>
      <c r="AA218" s="2">
        <v>0</v>
      </c>
    </row>
    <row r="219" spans="1:27" s="75" customFormat="1" ht="33" customHeight="1">
      <c r="A219" s="120">
        <v>31</v>
      </c>
      <c r="B219" s="121" t="s">
        <v>91</v>
      </c>
      <c r="C219" s="1">
        <f>D219+L219+N219+P219+R219+T219+V219+X219+Y219+Z219+AA219</f>
        <v>5864734.7199999997</v>
      </c>
      <c r="D219" s="1">
        <f t="shared" si="86"/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3">
        <v>400</v>
      </c>
      <c r="P219" s="4">
        <v>5438750.7199999997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0</v>
      </c>
      <c r="Y219" s="3">
        <v>0</v>
      </c>
      <c r="Z219" s="1">
        <v>425984</v>
      </c>
      <c r="AA219" s="2">
        <v>0</v>
      </c>
    </row>
    <row r="220" spans="1:27" s="75" customFormat="1" ht="25.5" customHeight="1">
      <c r="A220" s="120">
        <v>32</v>
      </c>
      <c r="B220" s="6" t="s">
        <v>182</v>
      </c>
      <c r="C220" s="1">
        <v>7732356.6699999999</v>
      </c>
      <c r="D220" s="1">
        <f t="shared" si="86"/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8">
        <v>852</v>
      </c>
      <c r="P220" s="1">
        <v>7170718.2699999996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  <c r="Z220" s="8">
        <v>561638.40000000002</v>
      </c>
      <c r="AA220" s="3">
        <v>0</v>
      </c>
    </row>
    <row r="221" spans="1:27" s="75" customFormat="1" ht="33" customHeight="1">
      <c r="A221" s="158" t="s">
        <v>270</v>
      </c>
      <c r="B221" s="160"/>
      <c r="C221" s="1">
        <f>C222</f>
        <v>11436232.699999999</v>
      </c>
      <c r="D221" s="1">
        <f t="shared" ref="D221:AA221" si="87">D222</f>
        <v>0</v>
      </c>
      <c r="E221" s="1">
        <f t="shared" si="87"/>
        <v>0</v>
      </c>
      <c r="F221" s="1">
        <f t="shared" si="87"/>
        <v>0</v>
      </c>
      <c r="G221" s="1">
        <f t="shared" si="87"/>
        <v>0</v>
      </c>
      <c r="H221" s="1">
        <f t="shared" si="87"/>
        <v>0</v>
      </c>
      <c r="I221" s="1">
        <f t="shared" si="87"/>
        <v>0</v>
      </c>
      <c r="J221" s="1">
        <f t="shared" si="87"/>
        <v>0</v>
      </c>
      <c r="K221" s="1">
        <f t="shared" si="87"/>
        <v>0</v>
      </c>
      <c r="L221" s="1">
        <f t="shared" si="87"/>
        <v>0</v>
      </c>
      <c r="M221" s="1">
        <f t="shared" si="87"/>
        <v>0</v>
      </c>
      <c r="N221" s="1">
        <f t="shared" si="87"/>
        <v>0</v>
      </c>
      <c r="O221" s="1">
        <f t="shared" si="87"/>
        <v>780</v>
      </c>
      <c r="P221" s="1">
        <f t="shared" si="87"/>
        <v>10605563.9</v>
      </c>
      <c r="Q221" s="1">
        <f t="shared" si="87"/>
        <v>0</v>
      </c>
      <c r="R221" s="1">
        <f t="shared" si="87"/>
        <v>0</v>
      </c>
      <c r="S221" s="1">
        <f t="shared" si="87"/>
        <v>0</v>
      </c>
      <c r="T221" s="1">
        <f t="shared" si="87"/>
        <v>0</v>
      </c>
      <c r="U221" s="1">
        <f t="shared" si="87"/>
        <v>0</v>
      </c>
      <c r="V221" s="1">
        <f t="shared" si="87"/>
        <v>0</v>
      </c>
      <c r="W221" s="1">
        <f t="shared" si="87"/>
        <v>0</v>
      </c>
      <c r="X221" s="1">
        <f t="shared" si="87"/>
        <v>0</v>
      </c>
      <c r="Y221" s="1">
        <f t="shared" si="87"/>
        <v>0</v>
      </c>
      <c r="Z221" s="1">
        <f t="shared" si="87"/>
        <v>830668.80000000005</v>
      </c>
      <c r="AA221" s="1">
        <f t="shared" si="87"/>
        <v>0</v>
      </c>
    </row>
    <row r="222" spans="1:27" s="75" customFormat="1" ht="27" customHeight="1">
      <c r="A222" s="76">
        <v>33</v>
      </c>
      <c r="B222" s="14" t="s">
        <v>852</v>
      </c>
      <c r="C222" s="1">
        <v>11436232.699999999</v>
      </c>
      <c r="D222" s="1">
        <f t="shared" si="86"/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1">
        <v>780</v>
      </c>
      <c r="P222" s="1">
        <v>10605563.9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1">
        <v>830668.80000000005</v>
      </c>
      <c r="AA222" s="2">
        <v>0</v>
      </c>
    </row>
    <row r="223" spans="1:27" s="75" customFormat="1" ht="33.75" customHeight="1">
      <c r="A223" s="158" t="s">
        <v>161</v>
      </c>
      <c r="B223" s="160"/>
      <c r="C223" s="1">
        <f>C224+C225+C226+C227</f>
        <v>23425815.810000002</v>
      </c>
      <c r="D223" s="1">
        <f t="shared" ref="D223:AA223" si="88">D224+D225+D226+D227</f>
        <v>0</v>
      </c>
      <c r="E223" s="1">
        <f t="shared" si="88"/>
        <v>0</v>
      </c>
      <c r="F223" s="1">
        <f t="shared" si="88"/>
        <v>0</v>
      </c>
      <c r="G223" s="1">
        <f t="shared" si="88"/>
        <v>0</v>
      </c>
      <c r="H223" s="1">
        <f t="shared" si="88"/>
        <v>0</v>
      </c>
      <c r="I223" s="1">
        <f t="shared" si="88"/>
        <v>0</v>
      </c>
      <c r="J223" s="1">
        <f t="shared" si="88"/>
        <v>0</v>
      </c>
      <c r="K223" s="1">
        <f t="shared" si="88"/>
        <v>0</v>
      </c>
      <c r="L223" s="1">
        <f t="shared" si="88"/>
        <v>0</v>
      </c>
      <c r="M223" s="1">
        <f t="shared" si="88"/>
        <v>0</v>
      </c>
      <c r="N223" s="1">
        <f t="shared" si="88"/>
        <v>0</v>
      </c>
      <c r="O223" s="1">
        <f t="shared" si="88"/>
        <v>1959.7</v>
      </c>
      <c r="P223" s="1">
        <f t="shared" si="88"/>
        <v>21724285.699999999</v>
      </c>
      <c r="Q223" s="1">
        <f t="shared" si="88"/>
        <v>0</v>
      </c>
      <c r="R223" s="1">
        <f t="shared" si="88"/>
        <v>0</v>
      </c>
      <c r="S223" s="1">
        <f t="shared" si="88"/>
        <v>0</v>
      </c>
      <c r="T223" s="1">
        <f t="shared" si="88"/>
        <v>0</v>
      </c>
      <c r="U223" s="1">
        <f t="shared" si="88"/>
        <v>0</v>
      </c>
      <c r="V223" s="1">
        <f t="shared" si="88"/>
        <v>0</v>
      </c>
      <c r="W223" s="1">
        <f t="shared" si="88"/>
        <v>0</v>
      </c>
      <c r="X223" s="1">
        <f t="shared" si="88"/>
        <v>0</v>
      </c>
      <c r="Y223" s="1">
        <f t="shared" si="88"/>
        <v>0</v>
      </c>
      <c r="Z223" s="1">
        <f t="shared" si="88"/>
        <v>1701530.1099999999</v>
      </c>
      <c r="AA223" s="1">
        <f t="shared" si="88"/>
        <v>0</v>
      </c>
    </row>
    <row r="224" spans="1:27" s="75" customFormat="1" ht="27" customHeight="1">
      <c r="A224" s="76">
        <v>34</v>
      </c>
      <c r="B224" s="9" t="s">
        <v>166</v>
      </c>
      <c r="C224" s="8">
        <f>D224+L224+N224+P224+R224+T224+V224+X224+Y224++Z224+AA224</f>
        <v>4838406.1399999997</v>
      </c>
      <c r="D224" s="1">
        <f>E224+F224+G224+H224+I224+J224</f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8">
        <v>330</v>
      </c>
      <c r="P224" s="8">
        <v>4486969.34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8">
        <v>351436.79999999999</v>
      </c>
      <c r="AA224" s="2">
        <v>0</v>
      </c>
    </row>
    <row r="225" spans="1:27" s="75" customFormat="1" ht="18.75">
      <c r="A225" s="76">
        <v>35</v>
      </c>
      <c r="B225" s="9" t="s">
        <v>167</v>
      </c>
      <c r="C225" s="8">
        <f t="shared" ref="C225:C227" si="89">D225+L225+N225+P225+R225+T225+V225+X225+Y225++Z225+AA225</f>
        <v>8621759.1999999993</v>
      </c>
      <c r="D225" s="1">
        <f t="shared" ref="D225:D227" si="90">E225+F225+G225+H225+I225+J225</f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8">
        <v>950</v>
      </c>
      <c r="P225" s="8">
        <v>7995519.2000000002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8">
        <v>626240</v>
      </c>
      <c r="AA225" s="2">
        <v>0</v>
      </c>
    </row>
    <row r="226" spans="1:27" s="75" customFormat="1" ht="28.5" customHeight="1">
      <c r="A226" s="76">
        <v>36</v>
      </c>
      <c r="B226" s="9" t="s">
        <v>336</v>
      </c>
      <c r="C226" s="8">
        <f t="shared" si="89"/>
        <v>2507174.0900000003</v>
      </c>
      <c r="D226" s="1">
        <f t="shared" si="90"/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8">
        <v>171</v>
      </c>
      <c r="P226" s="8">
        <v>2325065.9300000002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8">
        <v>182108.16</v>
      </c>
      <c r="AA226" s="2">
        <v>0</v>
      </c>
    </row>
    <row r="227" spans="1:27" s="75" customFormat="1" ht="36" customHeight="1">
      <c r="A227" s="76">
        <v>37</v>
      </c>
      <c r="B227" s="9" t="s">
        <v>168</v>
      </c>
      <c r="C227" s="8">
        <f t="shared" si="89"/>
        <v>7458476.3800000008</v>
      </c>
      <c r="D227" s="1">
        <f t="shared" si="90"/>
        <v>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8">
        <v>508.7</v>
      </c>
      <c r="P227" s="8">
        <v>6916731.2300000004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8">
        <v>541745.15</v>
      </c>
      <c r="AA227" s="2">
        <v>0</v>
      </c>
    </row>
    <row r="228" spans="1:27" s="101" customFormat="1" ht="33" customHeight="1">
      <c r="A228" s="158" t="s">
        <v>143</v>
      </c>
      <c r="B228" s="160"/>
      <c r="C228" s="1">
        <f>C229</f>
        <v>11975759</v>
      </c>
      <c r="D228" s="1">
        <f t="shared" ref="D228:AA228" si="91">D229</f>
        <v>0</v>
      </c>
      <c r="E228" s="1">
        <f t="shared" si="91"/>
        <v>0</v>
      </c>
      <c r="F228" s="1">
        <f t="shared" si="91"/>
        <v>0</v>
      </c>
      <c r="G228" s="1">
        <f t="shared" si="91"/>
        <v>0</v>
      </c>
      <c r="H228" s="1">
        <f t="shared" si="91"/>
        <v>0</v>
      </c>
      <c r="I228" s="1">
        <f t="shared" si="91"/>
        <v>0</v>
      </c>
      <c r="J228" s="1">
        <f t="shared" si="91"/>
        <v>0</v>
      </c>
      <c r="K228" s="1">
        <f t="shared" si="91"/>
        <v>0</v>
      </c>
      <c r="L228" s="1">
        <f t="shared" si="91"/>
        <v>0</v>
      </c>
      <c r="M228" s="1">
        <f t="shared" si="91"/>
        <v>0</v>
      </c>
      <c r="N228" s="1">
        <f t="shared" si="91"/>
        <v>0</v>
      </c>
      <c r="O228" s="1">
        <f t="shared" si="91"/>
        <v>873</v>
      </c>
      <c r="P228" s="1">
        <f t="shared" si="91"/>
        <v>11105901.800000001</v>
      </c>
      <c r="Q228" s="1">
        <f t="shared" si="91"/>
        <v>0</v>
      </c>
      <c r="R228" s="1">
        <f t="shared" si="91"/>
        <v>0</v>
      </c>
      <c r="S228" s="1">
        <f t="shared" si="91"/>
        <v>0</v>
      </c>
      <c r="T228" s="1">
        <f t="shared" si="91"/>
        <v>0</v>
      </c>
      <c r="U228" s="1">
        <f t="shared" si="91"/>
        <v>0</v>
      </c>
      <c r="V228" s="1">
        <f t="shared" si="91"/>
        <v>0</v>
      </c>
      <c r="W228" s="1">
        <f t="shared" si="91"/>
        <v>0</v>
      </c>
      <c r="X228" s="1">
        <f t="shared" si="91"/>
        <v>0</v>
      </c>
      <c r="Y228" s="1">
        <f t="shared" si="91"/>
        <v>0</v>
      </c>
      <c r="Z228" s="1">
        <f t="shared" si="91"/>
        <v>869857.2</v>
      </c>
      <c r="AA228" s="1">
        <f t="shared" si="91"/>
        <v>0</v>
      </c>
    </row>
    <row r="229" spans="1:27" s="101" customFormat="1" ht="33" customHeight="1">
      <c r="A229" s="76">
        <v>38</v>
      </c>
      <c r="B229" s="121" t="s">
        <v>144</v>
      </c>
      <c r="C229" s="1">
        <f>D229+L229+N229+P229+R229+T229+V229+X229+Y229+Z229+AA229</f>
        <v>11975759</v>
      </c>
      <c r="D229" s="1">
        <f>E229+F229+G229+H229+I229+J229</f>
        <v>0</v>
      </c>
      <c r="E229" s="1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873</v>
      </c>
      <c r="P229" s="8">
        <v>11105901.800000001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1">
        <v>869857.2</v>
      </c>
      <c r="AA229" s="2"/>
    </row>
    <row r="230" spans="1:27" s="101" customFormat="1" ht="39" customHeight="1">
      <c r="A230" s="158" t="s">
        <v>154</v>
      </c>
      <c r="B230" s="160"/>
      <c r="C230" s="1">
        <f>C231</f>
        <v>21816813.16</v>
      </c>
      <c r="D230" s="1">
        <f t="shared" ref="D230:Z230" si="92">D231</f>
        <v>0</v>
      </c>
      <c r="E230" s="1">
        <f t="shared" si="92"/>
        <v>0</v>
      </c>
      <c r="F230" s="1">
        <f t="shared" si="92"/>
        <v>0</v>
      </c>
      <c r="G230" s="1">
        <f t="shared" si="92"/>
        <v>0</v>
      </c>
      <c r="H230" s="1">
        <f t="shared" si="92"/>
        <v>0</v>
      </c>
      <c r="I230" s="1">
        <f t="shared" si="92"/>
        <v>0</v>
      </c>
      <c r="J230" s="1">
        <f t="shared" si="92"/>
        <v>0</v>
      </c>
      <c r="K230" s="1">
        <f t="shared" si="92"/>
        <v>0</v>
      </c>
      <c r="L230" s="1">
        <f t="shared" si="92"/>
        <v>0</v>
      </c>
      <c r="M230" s="1">
        <f t="shared" si="92"/>
        <v>0</v>
      </c>
      <c r="N230" s="1">
        <f t="shared" si="92"/>
        <v>0</v>
      </c>
      <c r="O230" s="1">
        <f t="shared" si="92"/>
        <v>1488</v>
      </c>
      <c r="P230" s="1">
        <f t="shared" si="92"/>
        <v>20232152.68</v>
      </c>
      <c r="Q230" s="1">
        <f t="shared" si="92"/>
        <v>0</v>
      </c>
      <c r="R230" s="1">
        <f t="shared" si="92"/>
        <v>0</v>
      </c>
      <c r="S230" s="1">
        <f t="shared" si="92"/>
        <v>0</v>
      </c>
      <c r="T230" s="1">
        <f t="shared" si="92"/>
        <v>0</v>
      </c>
      <c r="U230" s="1">
        <f t="shared" si="92"/>
        <v>0</v>
      </c>
      <c r="V230" s="1">
        <f t="shared" si="92"/>
        <v>0</v>
      </c>
      <c r="W230" s="1">
        <f t="shared" si="92"/>
        <v>0</v>
      </c>
      <c r="X230" s="1">
        <f t="shared" si="92"/>
        <v>0</v>
      </c>
      <c r="Y230" s="1">
        <f t="shared" si="92"/>
        <v>0</v>
      </c>
      <c r="Z230" s="1">
        <f t="shared" si="92"/>
        <v>1584660.48</v>
      </c>
      <c r="AA230" s="1">
        <f>AA231</f>
        <v>0</v>
      </c>
    </row>
    <row r="231" spans="1:27" s="101" customFormat="1" ht="27" customHeight="1">
      <c r="A231" s="76">
        <v>39</v>
      </c>
      <c r="B231" s="121" t="s">
        <v>497</v>
      </c>
      <c r="C231" s="1">
        <f>D231+L231+N231+P231+R231+T231+V231+X231+Y231+Z231+AA231</f>
        <v>21816813.16</v>
      </c>
      <c r="D231" s="1">
        <f>E231+F231+G231+H231+I231+J231</f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05">
        <v>1488</v>
      </c>
      <c r="P231" s="1">
        <v>20232152.68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8">
        <v>1584660.48</v>
      </c>
      <c r="AA231" s="1">
        <v>0</v>
      </c>
    </row>
    <row r="232" spans="1:27" s="75" customFormat="1" ht="32.25" customHeight="1">
      <c r="A232" s="158" t="s">
        <v>233</v>
      </c>
      <c r="B232" s="160"/>
      <c r="C232" s="8">
        <f>SUM(C233:C244)</f>
        <v>140589329.50000003</v>
      </c>
      <c r="D232" s="8">
        <f t="shared" ref="D232:AA232" si="93">SUM(D233:D244)</f>
        <v>0</v>
      </c>
      <c r="E232" s="8">
        <f t="shared" si="93"/>
        <v>0</v>
      </c>
      <c r="F232" s="8">
        <f t="shared" si="93"/>
        <v>0</v>
      </c>
      <c r="G232" s="8">
        <f t="shared" si="93"/>
        <v>0</v>
      </c>
      <c r="H232" s="8">
        <f t="shared" si="93"/>
        <v>0</v>
      </c>
      <c r="I232" s="8">
        <f t="shared" si="93"/>
        <v>0</v>
      </c>
      <c r="J232" s="8">
        <f t="shared" si="93"/>
        <v>0</v>
      </c>
      <c r="K232" s="8">
        <f t="shared" si="93"/>
        <v>0</v>
      </c>
      <c r="L232" s="8">
        <f t="shared" si="93"/>
        <v>0</v>
      </c>
      <c r="M232" s="8">
        <f t="shared" si="93"/>
        <v>3</v>
      </c>
      <c r="N232" s="8">
        <f t="shared" si="93"/>
        <v>17041873.109999999</v>
      </c>
      <c r="O232" s="8">
        <f t="shared" si="93"/>
        <v>9574.1</v>
      </c>
      <c r="P232" s="8">
        <f t="shared" si="93"/>
        <v>91777620.710000008</v>
      </c>
      <c r="Q232" s="8">
        <f t="shared" si="93"/>
        <v>0</v>
      </c>
      <c r="R232" s="8">
        <f t="shared" si="93"/>
        <v>0</v>
      </c>
      <c r="S232" s="8">
        <f t="shared" si="93"/>
        <v>2400.96</v>
      </c>
      <c r="T232" s="8">
        <f t="shared" si="93"/>
        <v>16536132.289999999</v>
      </c>
      <c r="U232" s="8">
        <f t="shared" si="93"/>
        <v>414.92</v>
      </c>
      <c r="V232" s="8">
        <f t="shared" si="93"/>
        <v>5022021.5599999996</v>
      </c>
      <c r="W232" s="8">
        <f t="shared" si="93"/>
        <v>0</v>
      </c>
      <c r="X232" s="8">
        <f t="shared" si="93"/>
        <v>0</v>
      </c>
      <c r="Y232" s="8">
        <f t="shared" si="93"/>
        <v>0</v>
      </c>
      <c r="Z232" s="8">
        <f t="shared" si="93"/>
        <v>10211681.83</v>
      </c>
      <c r="AA232" s="8">
        <f t="shared" si="93"/>
        <v>0</v>
      </c>
    </row>
    <row r="233" spans="1:27" s="75" customFormat="1" ht="30" customHeight="1">
      <c r="A233" s="76">
        <v>40</v>
      </c>
      <c r="B233" s="21" t="s">
        <v>244</v>
      </c>
      <c r="C233" s="1">
        <f xml:space="preserve"> SUM(D233+L233+V233+X233+Y233+Z233+AA233+T233+R233+P233+N233)</f>
        <v>9620068.1600000001</v>
      </c>
      <c r="D233" s="1">
        <f t="shared" ref="D233:D244" si="94">E233+F233+G233+H233+I233+J233</f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5">
        <v>0</v>
      </c>
      <c r="N233" s="1">
        <v>0</v>
      </c>
      <c r="O233" s="8">
        <v>1060</v>
      </c>
      <c r="P233" s="8">
        <v>8921316.1600000001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8">
        <v>698752</v>
      </c>
      <c r="AA233" s="1">
        <v>0</v>
      </c>
    </row>
    <row r="234" spans="1:27" s="75" customFormat="1" ht="33" customHeight="1">
      <c r="A234" s="76">
        <v>41</v>
      </c>
      <c r="B234" s="121" t="s">
        <v>630</v>
      </c>
      <c r="C234" s="1">
        <f>P234+Z234</f>
        <v>5894597.5300000003</v>
      </c>
      <c r="D234" s="1">
        <f t="shared" si="94"/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5">
        <v>0</v>
      </c>
      <c r="N234" s="1">
        <v>0</v>
      </c>
      <c r="O234" s="8">
        <v>429.7</v>
      </c>
      <c r="P234" s="8">
        <v>5466444.4500000002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8">
        <v>428153.08</v>
      </c>
      <c r="AA234" s="1">
        <v>0</v>
      </c>
    </row>
    <row r="235" spans="1:27" s="75" customFormat="1" ht="33" customHeight="1">
      <c r="A235" s="76">
        <v>42</v>
      </c>
      <c r="B235" s="21" t="s">
        <v>494</v>
      </c>
      <c r="C235" s="1">
        <f>SUM(D235+L235+N235+P235+R235+T235+V235+X235+Y235+Z235+AA235)</f>
        <v>12451635.390000001</v>
      </c>
      <c r="D235" s="1">
        <f t="shared" si="94"/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5">
        <v>0</v>
      </c>
      <c r="N235" s="1">
        <v>0</v>
      </c>
      <c r="O235" s="8">
        <v>1372</v>
      </c>
      <c r="P235" s="8">
        <v>11547212.99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8">
        <v>904422.40000000002</v>
      </c>
      <c r="AA235" s="1">
        <v>0</v>
      </c>
    </row>
    <row r="236" spans="1:27" s="75" customFormat="1" ht="31.5" customHeight="1">
      <c r="A236" s="76">
        <v>43</v>
      </c>
      <c r="B236" s="21" t="s">
        <v>495</v>
      </c>
      <c r="C236" s="1">
        <f>SUM(D236+L236+N236+P236+R236+T236+V236+X236+Y236+Z236+AA236)</f>
        <v>6743123.25</v>
      </c>
      <c r="D236" s="1">
        <f t="shared" si="94"/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5">
        <v>0</v>
      </c>
      <c r="N236" s="1">
        <v>0</v>
      </c>
      <c r="O236" s="8">
        <v>743</v>
      </c>
      <c r="P236" s="8">
        <v>6253337.6500000004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8">
        <v>489785.59999999998</v>
      </c>
      <c r="AA236" s="1">
        <v>0</v>
      </c>
    </row>
    <row r="237" spans="1:27" s="75" customFormat="1" ht="33" customHeight="1">
      <c r="A237" s="76">
        <v>44</v>
      </c>
      <c r="B237" s="21" t="s">
        <v>496</v>
      </c>
      <c r="C237" s="1">
        <f>SUM(D237+L237+N237+P237+R237+T237+V237+X237+Y237+Z237+AA237)</f>
        <v>7087993.6200000001</v>
      </c>
      <c r="D237" s="1">
        <f t="shared" si="94"/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5">
        <v>0</v>
      </c>
      <c r="N237" s="1">
        <v>0</v>
      </c>
      <c r="O237" s="8">
        <v>781</v>
      </c>
      <c r="P237" s="8">
        <v>6573158.4199999999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8">
        <v>514835.20000000001</v>
      </c>
      <c r="AA237" s="1">
        <v>0</v>
      </c>
    </row>
    <row r="238" spans="1:27" s="75" customFormat="1" ht="30.75" customHeight="1">
      <c r="A238" s="76">
        <v>45</v>
      </c>
      <c r="B238" s="21" t="s">
        <v>245</v>
      </c>
      <c r="C238" s="1">
        <f>SUM(D238+L238+N238+P238+R238+T238+V238+X238+Y238+Z238+AA238)</f>
        <v>4773731.9400000004</v>
      </c>
      <c r="D238" s="1">
        <f t="shared" si="94"/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5">
        <v>0</v>
      </c>
      <c r="N238" s="1">
        <v>0</v>
      </c>
      <c r="O238" s="8">
        <v>526</v>
      </c>
      <c r="P238" s="8">
        <v>4426992.74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8">
        <v>346739.20000000001</v>
      </c>
      <c r="AA238" s="1">
        <v>0</v>
      </c>
    </row>
    <row r="239" spans="1:27" s="75" customFormat="1" ht="30" customHeight="1">
      <c r="A239" s="76">
        <v>46</v>
      </c>
      <c r="B239" s="21" t="s">
        <v>583</v>
      </c>
      <c r="C239" s="19">
        <v>38788218.890000001</v>
      </c>
      <c r="D239" s="1">
        <f t="shared" si="94"/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5">
        <v>0</v>
      </c>
      <c r="N239" s="1">
        <v>0</v>
      </c>
      <c r="O239" s="8">
        <v>1060</v>
      </c>
      <c r="P239" s="8">
        <v>14412689.41</v>
      </c>
      <c r="Q239" s="1">
        <v>0</v>
      </c>
      <c r="R239" s="1">
        <v>0</v>
      </c>
      <c r="S239" s="1">
        <v>2400.96</v>
      </c>
      <c r="T239" s="1">
        <v>16536132.289999999</v>
      </c>
      <c r="U239" s="8">
        <v>414.92</v>
      </c>
      <c r="V239" s="8">
        <v>5022021.5599999996</v>
      </c>
      <c r="W239" s="1">
        <v>0</v>
      </c>
      <c r="X239" s="1">
        <v>0</v>
      </c>
      <c r="Y239" s="1">
        <v>0</v>
      </c>
      <c r="Z239" s="8">
        <v>2817375.63</v>
      </c>
      <c r="AA239" s="1">
        <v>0</v>
      </c>
    </row>
    <row r="240" spans="1:27" s="75" customFormat="1" ht="39.75" customHeight="1">
      <c r="A240" s="76">
        <v>47</v>
      </c>
      <c r="B240" s="9" t="s">
        <v>246</v>
      </c>
      <c r="C240" s="19">
        <f>SUM(D240+L240+N240+P240+R240+T240+V240+X240+Y240+Z240)</f>
        <v>9209853.9299999997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5">
        <v>0</v>
      </c>
      <c r="N240" s="1">
        <v>0</v>
      </c>
      <c r="O240" s="18">
        <v>1014.8</v>
      </c>
      <c r="P240" s="8">
        <v>8540897.7699999996</v>
      </c>
      <c r="Q240" s="1">
        <v>0</v>
      </c>
      <c r="R240" s="1">
        <v>0</v>
      </c>
      <c r="S240" s="1">
        <v>0</v>
      </c>
      <c r="T240" s="1">
        <v>0</v>
      </c>
      <c r="U240" s="8">
        <v>0</v>
      </c>
      <c r="V240" s="8">
        <v>0</v>
      </c>
      <c r="W240" s="1">
        <v>0</v>
      </c>
      <c r="X240" s="1">
        <v>0</v>
      </c>
      <c r="Y240" s="1">
        <v>0</v>
      </c>
      <c r="Z240" s="8">
        <v>668956.16000000003</v>
      </c>
      <c r="AA240" s="1">
        <v>0</v>
      </c>
    </row>
    <row r="241" spans="1:27" s="75" customFormat="1" ht="30" customHeight="1">
      <c r="A241" s="76">
        <v>48</v>
      </c>
      <c r="B241" s="21" t="s">
        <v>247</v>
      </c>
      <c r="C241" s="1">
        <f xml:space="preserve"> SUM(D241+L241+N241+P241+R241+T241+V241+X241+Y241+Z241+AA241)</f>
        <v>12291271.550000001</v>
      </c>
      <c r="D241" s="1">
        <f t="shared" si="94"/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5">
        <v>0</v>
      </c>
      <c r="N241" s="1">
        <v>0</v>
      </c>
      <c r="O241" s="8">
        <v>896</v>
      </c>
      <c r="P241" s="8">
        <v>11398497.15</v>
      </c>
      <c r="Q241" s="1">
        <v>0</v>
      </c>
      <c r="R241" s="1">
        <v>0</v>
      </c>
      <c r="S241" s="1">
        <v>0</v>
      </c>
      <c r="T241" s="1">
        <v>0</v>
      </c>
      <c r="U241" s="8">
        <v>0</v>
      </c>
      <c r="V241" s="8">
        <v>0</v>
      </c>
      <c r="W241" s="1">
        <v>0</v>
      </c>
      <c r="X241" s="1">
        <v>0</v>
      </c>
      <c r="Y241" s="1">
        <v>0</v>
      </c>
      <c r="Z241" s="8">
        <v>892774.40000000002</v>
      </c>
      <c r="AA241" s="1">
        <v>0</v>
      </c>
    </row>
    <row r="242" spans="1:27" s="75" customFormat="1" ht="34.5" customHeight="1">
      <c r="A242" s="76">
        <v>49</v>
      </c>
      <c r="B242" s="22" t="s">
        <v>584</v>
      </c>
      <c r="C242" s="1">
        <f>SUM(D242++P242+R242+T242+V242+X242+Y242+Z242+AA242)</f>
        <v>6774887.6200000001</v>
      </c>
      <c r="D242" s="1">
        <f t="shared" si="94"/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5">
        <v>0</v>
      </c>
      <c r="N242" s="1">
        <v>0</v>
      </c>
      <c r="O242" s="1">
        <v>746.5</v>
      </c>
      <c r="P242" s="8">
        <v>6282794.8200000003</v>
      </c>
      <c r="Q242" s="1">
        <v>0</v>
      </c>
      <c r="R242" s="1">
        <v>0</v>
      </c>
      <c r="S242" s="1">
        <v>0</v>
      </c>
      <c r="T242" s="1">
        <v>0</v>
      </c>
      <c r="U242" s="8">
        <v>0</v>
      </c>
      <c r="V242" s="8">
        <v>0</v>
      </c>
      <c r="W242" s="1">
        <v>0</v>
      </c>
      <c r="X242" s="1">
        <v>0</v>
      </c>
      <c r="Y242" s="1">
        <v>0</v>
      </c>
      <c r="Z242" s="8">
        <v>492092.8</v>
      </c>
      <c r="AA242" s="1">
        <v>0</v>
      </c>
    </row>
    <row r="243" spans="1:27" s="75" customFormat="1" ht="32.25" customHeight="1">
      <c r="A243" s="76">
        <v>50</v>
      </c>
      <c r="B243" s="21" t="s">
        <v>248</v>
      </c>
      <c r="C243" s="1">
        <f>SUM(D243+N243+P243+R243+T243+V243+X243+Y243+Z243+AA243)</f>
        <v>8577289.0700000003</v>
      </c>
      <c r="D243" s="1">
        <f t="shared" si="94"/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5">
        <v>0</v>
      </c>
      <c r="N243" s="1">
        <v>0</v>
      </c>
      <c r="O243" s="18">
        <v>945.1</v>
      </c>
      <c r="P243" s="8">
        <v>7954279.1500000004</v>
      </c>
      <c r="Q243" s="1">
        <v>0</v>
      </c>
      <c r="R243" s="1">
        <v>0</v>
      </c>
      <c r="S243" s="1">
        <v>0</v>
      </c>
      <c r="T243" s="1">
        <v>0</v>
      </c>
      <c r="U243" s="8">
        <v>0</v>
      </c>
      <c r="V243" s="8">
        <v>0</v>
      </c>
      <c r="W243" s="1">
        <v>0</v>
      </c>
      <c r="X243" s="1">
        <v>0</v>
      </c>
      <c r="Y243" s="1">
        <v>0</v>
      </c>
      <c r="Z243" s="8">
        <v>623009.92000000004</v>
      </c>
      <c r="AA243" s="1">
        <v>0</v>
      </c>
    </row>
    <row r="244" spans="1:27" s="75" customFormat="1" ht="36.75" customHeight="1">
      <c r="A244" s="76">
        <v>51</v>
      </c>
      <c r="B244" s="21" t="s">
        <v>249</v>
      </c>
      <c r="C244" s="1">
        <f>SUM(N244+Z244)</f>
        <v>18376658.550000001</v>
      </c>
      <c r="D244" s="1">
        <f t="shared" si="94"/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2">
        <v>3</v>
      </c>
      <c r="N244" s="8">
        <v>17041873.109999999</v>
      </c>
      <c r="O244" s="2">
        <v>0</v>
      </c>
      <c r="P244" s="29">
        <v>0</v>
      </c>
      <c r="Q244" s="1">
        <v>0</v>
      </c>
      <c r="R244" s="1">
        <v>0</v>
      </c>
      <c r="S244" s="1">
        <v>0</v>
      </c>
      <c r="T244" s="1">
        <v>0</v>
      </c>
      <c r="U244" s="8">
        <v>0</v>
      </c>
      <c r="V244" s="8">
        <v>0</v>
      </c>
      <c r="W244" s="1">
        <v>0</v>
      </c>
      <c r="X244" s="1">
        <v>0</v>
      </c>
      <c r="Y244" s="1">
        <v>0</v>
      </c>
      <c r="Z244" s="8">
        <v>1334785.44</v>
      </c>
      <c r="AA244" s="1">
        <v>0</v>
      </c>
    </row>
    <row r="245" spans="1:27" s="101" customFormat="1" ht="38.25" customHeight="1">
      <c r="A245" s="158" t="s">
        <v>97</v>
      </c>
      <c r="B245" s="160"/>
      <c r="C245" s="1">
        <f>SUM(C246:C248)</f>
        <v>19578516.690000001</v>
      </c>
      <c r="D245" s="1">
        <f t="shared" ref="D245:AA245" si="95">SUM(D246:D248)</f>
        <v>4491438.4800000004</v>
      </c>
      <c r="E245" s="1">
        <f t="shared" si="95"/>
        <v>0</v>
      </c>
      <c r="F245" s="1">
        <f t="shared" si="95"/>
        <v>0</v>
      </c>
      <c r="G245" s="1">
        <f t="shared" si="95"/>
        <v>0</v>
      </c>
      <c r="H245" s="1">
        <f t="shared" si="95"/>
        <v>2581015.19</v>
      </c>
      <c r="I245" s="1">
        <f t="shared" si="95"/>
        <v>0</v>
      </c>
      <c r="J245" s="1">
        <f t="shared" si="95"/>
        <v>1910423.29</v>
      </c>
      <c r="K245" s="1">
        <f t="shared" si="95"/>
        <v>0</v>
      </c>
      <c r="L245" s="1">
        <f t="shared" si="95"/>
        <v>0</v>
      </c>
      <c r="M245" s="1">
        <f t="shared" si="95"/>
        <v>0</v>
      </c>
      <c r="N245" s="1">
        <f t="shared" si="95"/>
        <v>0</v>
      </c>
      <c r="O245" s="1">
        <f t="shared" si="95"/>
        <v>1366.95</v>
      </c>
      <c r="P245" s="1">
        <f t="shared" si="95"/>
        <v>13664996.01</v>
      </c>
      <c r="Q245" s="1">
        <f t="shared" si="95"/>
        <v>0</v>
      </c>
      <c r="R245" s="1">
        <f t="shared" si="95"/>
        <v>0</v>
      </c>
      <c r="S245" s="1">
        <f t="shared" si="95"/>
        <v>0</v>
      </c>
      <c r="T245" s="1">
        <f t="shared" si="95"/>
        <v>0</v>
      </c>
      <c r="U245" s="1">
        <f t="shared" si="95"/>
        <v>0</v>
      </c>
      <c r="V245" s="1">
        <f t="shared" si="95"/>
        <v>0</v>
      </c>
      <c r="W245" s="1">
        <f t="shared" si="95"/>
        <v>0</v>
      </c>
      <c r="X245" s="1">
        <f t="shared" si="95"/>
        <v>0</v>
      </c>
      <c r="Y245" s="1">
        <f t="shared" si="95"/>
        <v>0</v>
      </c>
      <c r="Z245" s="1">
        <f t="shared" si="95"/>
        <v>1422082.2</v>
      </c>
      <c r="AA245" s="1">
        <f t="shared" si="95"/>
        <v>0</v>
      </c>
    </row>
    <row r="246" spans="1:27" s="101" customFormat="1" ht="38.25" customHeight="1">
      <c r="A246" s="120">
        <v>52</v>
      </c>
      <c r="B246" s="7" t="s">
        <v>98</v>
      </c>
      <c r="C246" s="8">
        <f>D246+L246+N246+P246+R246+T246+V246+X246+Y246+Z246+AA246</f>
        <v>4843225.32</v>
      </c>
      <c r="D246" s="8">
        <f>E246+F246+G246+H246+I246+J246</f>
        <v>4491438.4800000004</v>
      </c>
      <c r="E246" s="8">
        <v>0</v>
      </c>
      <c r="F246" s="8">
        <v>0</v>
      </c>
      <c r="G246" s="8">
        <v>0</v>
      </c>
      <c r="H246" s="1">
        <v>2581015.19</v>
      </c>
      <c r="I246" s="8">
        <v>0</v>
      </c>
      <c r="J246" s="1">
        <v>1910423.29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1">
        <f>202155.1+149631.74</f>
        <v>351786.83999999997</v>
      </c>
      <c r="AA246" s="2">
        <v>0</v>
      </c>
    </row>
    <row r="247" spans="1:27" s="101" customFormat="1" ht="36" customHeight="1">
      <c r="A247" s="120">
        <v>53</v>
      </c>
      <c r="B247" s="7" t="s">
        <v>720</v>
      </c>
      <c r="C247" s="8">
        <f t="shared" ref="C247:C250" si="96">D247+L247+N247+P247+R247+T247+V247+X247+Y247+Z247+AA247</f>
        <v>8621305.4199999999</v>
      </c>
      <c r="D247" s="8">
        <f t="shared" ref="D247:D248" si="97">E247+F247+G247+H247+I247+J247</f>
        <v>0</v>
      </c>
      <c r="E247" s="8">
        <f t="shared" ref="E247:E248" si="98">F247+G247+H247+I247+J247+K247</f>
        <v>0</v>
      </c>
      <c r="F247" s="8">
        <f t="shared" ref="F247:F248" si="99">G247+H247+I247+J247+K247+L247</f>
        <v>0</v>
      </c>
      <c r="G247" s="8">
        <f t="shared" ref="G247:G248" si="100">H247+I247+J247+K247+L247+M247</f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949.95</v>
      </c>
      <c r="P247" s="1">
        <v>7995098.3799999999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1">
        <v>626207.04</v>
      </c>
      <c r="AA247" s="2">
        <v>0</v>
      </c>
    </row>
    <row r="248" spans="1:27" s="101" customFormat="1" ht="38.25" customHeight="1">
      <c r="A248" s="120">
        <v>54</v>
      </c>
      <c r="B248" s="7" t="s">
        <v>498</v>
      </c>
      <c r="C248" s="8">
        <f t="shared" si="96"/>
        <v>6113985.9500000002</v>
      </c>
      <c r="D248" s="8">
        <f t="shared" si="97"/>
        <v>0</v>
      </c>
      <c r="E248" s="8">
        <f t="shared" si="98"/>
        <v>0</v>
      </c>
      <c r="F248" s="8">
        <f t="shared" si="99"/>
        <v>0</v>
      </c>
      <c r="G248" s="8">
        <f t="shared" si="100"/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1">
        <v>417</v>
      </c>
      <c r="P248" s="1">
        <v>5669897.6299999999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5">
        <v>444088.32000000001</v>
      </c>
      <c r="AA248" s="2">
        <v>0</v>
      </c>
    </row>
    <row r="249" spans="1:27" s="101" customFormat="1" ht="33.75" customHeight="1">
      <c r="A249" s="158" t="s">
        <v>200</v>
      </c>
      <c r="B249" s="160"/>
      <c r="C249" s="8">
        <f>C250</f>
        <v>5899098.4000000004</v>
      </c>
      <c r="D249" s="8">
        <f t="shared" ref="D249:AA249" si="101">D250</f>
        <v>0</v>
      </c>
      <c r="E249" s="8">
        <f t="shared" si="101"/>
        <v>0</v>
      </c>
      <c r="F249" s="8">
        <f t="shared" si="101"/>
        <v>0</v>
      </c>
      <c r="G249" s="8">
        <f t="shared" si="101"/>
        <v>0</v>
      </c>
      <c r="H249" s="8">
        <f t="shared" si="101"/>
        <v>0</v>
      </c>
      <c r="I249" s="8">
        <f t="shared" si="101"/>
        <v>0</v>
      </c>
      <c r="J249" s="8">
        <f t="shared" si="101"/>
        <v>0</v>
      </c>
      <c r="K249" s="8">
        <f t="shared" si="101"/>
        <v>0</v>
      </c>
      <c r="L249" s="8">
        <f t="shared" si="101"/>
        <v>0</v>
      </c>
      <c r="M249" s="8">
        <f t="shared" si="101"/>
        <v>0</v>
      </c>
      <c r="N249" s="8">
        <f t="shared" si="101"/>
        <v>0</v>
      </c>
      <c r="O249" s="8">
        <f t="shared" si="101"/>
        <v>650</v>
      </c>
      <c r="P249" s="8">
        <f t="shared" si="101"/>
        <v>5470618.4000000004</v>
      </c>
      <c r="Q249" s="8">
        <f t="shared" si="101"/>
        <v>0</v>
      </c>
      <c r="R249" s="8">
        <f t="shared" si="101"/>
        <v>0</v>
      </c>
      <c r="S249" s="8">
        <f t="shared" si="101"/>
        <v>0</v>
      </c>
      <c r="T249" s="8">
        <f t="shared" si="101"/>
        <v>0</v>
      </c>
      <c r="U249" s="8">
        <f t="shared" si="101"/>
        <v>0</v>
      </c>
      <c r="V249" s="8">
        <f t="shared" si="101"/>
        <v>0</v>
      </c>
      <c r="W249" s="8">
        <f t="shared" si="101"/>
        <v>0</v>
      </c>
      <c r="X249" s="8">
        <f t="shared" si="101"/>
        <v>0</v>
      </c>
      <c r="Y249" s="8">
        <f t="shared" si="101"/>
        <v>0</v>
      </c>
      <c r="Z249" s="8">
        <f t="shared" si="101"/>
        <v>428480</v>
      </c>
      <c r="AA249" s="8">
        <f t="shared" si="101"/>
        <v>0</v>
      </c>
    </row>
    <row r="250" spans="1:27" s="101" customFormat="1" ht="34.5" customHeight="1">
      <c r="A250" s="76">
        <v>55</v>
      </c>
      <c r="B250" s="7" t="s">
        <v>499</v>
      </c>
      <c r="C250" s="8">
        <f t="shared" si="96"/>
        <v>5899098.4000000004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1">
        <v>650</v>
      </c>
      <c r="P250" s="1">
        <v>5470618.4000000004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5">
        <v>428480</v>
      </c>
      <c r="AA250" s="2">
        <v>0</v>
      </c>
    </row>
    <row r="251" spans="1:27" s="75" customFormat="1" ht="41.25" customHeight="1">
      <c r="A251" s="158" t="s">
        <v>186</v>
      </c>
      <c r="B251" s="160"/>
      <c r="C251" s="8">
        <f>SUM(C252)</f>
        <v>7050163.5199999996</v>
      </c>
      <c r="D251" s="8">
        <f t="shared" ref="D251:AA251" si="102">SUM(D252)</f>
        <v>0</v>
      </c>
      <c r="E251" s="8">
        <f t="shared" si="102"/>
        <v>0</v>
      </c>
      <c r="F251" s="8">
        <f t="shared" si="102"/>
        <v>0</v>
      </c>
      <c r="G251" s="8">
        <f t="shared" si="102"/>
        <v>0</v>
      </c>
      <c r="H251" s="8">
        <f t="shared" si="102"/>
        <v>0</v>
      </c>
      <c r="I251" s="8">
        <f t="shared" si="102"/>
        <v>0</v>
      </c>
      <c r="J251" s="8">
        <f t="shared" si="102"/>
        <v>0</v>
      </c>
      <c r="K251" s="8">
        <f t="shared" si="102"/>
        <v>0</v>
      </c>
      <c r="L251" s="8">
        <f t="shared" si="102"/>
        <v>0</v>
      </c>
      <c r="M251" s="8">
        <f t="shared" si="102"/>
        <v>0</v>
      </c>
      <c r="N251" s="8">
        <f t="shared" si="102"/>
        <v>0</v>
      </c>
      <c r="O251" s="8">
        <f t="shared" si="102"/>
        <v>502.48</v>
      </c>
      <c r="P251" s="8">
        <f t="shared" si="102"/>
        <v>6538076.0999999996</v>
      </c>
      <c r="Q251" s="8">
        <f t="shared" si="102"/>
        <v>0</v>
      </c>
      <c r="R251" s="8">
        <f t="shared" si="102"/>
        <v>0</v>
      </c>
      <c r="S251" s="8">
        <f t="shared" si="102"/>
        <v>0</v>
      </c>
      <c r="T251" s="8">
        <f t="shared" si="102"/>
        <v>0</v>
      </c>
      <c r="U251" s="8">
        <f t="shared" si="102"/>
        <v>0</v>
      </c>
      <c r="V251" s="8">
        <f t="shared" si="102"/>
        <v>0</v>
      </c>
      <c r="W251" s="8">
        <f t="shared" si="102"/>
        <v>0</v>
      </c>
      <c r="X251" s="8">
        <f t="shared" si="102"/>
        <v>0</v>
      </c>
      <c r="Y251" s="8">
        <f t="shared" si="102"/>
        <v>0</v>
      </c>
      <c r="Z251" s="8">
        <f t="shared" si="102"/>
        <v>512087.42</v>
      </c>
      <c r="AA251" s="8">
        <f t="shared" si="102"/>
        <v>0</v>
      </c>
    </row>
    <row r="252" spans="1:27" s="75" customFormat="1" ht="32.25" customHeight="1">
      <c r="A252" s="120">
        <v>56</v>
      </c>
      <c r="B252" s="112" t="s">
        <v>187</v>
      </c>
      <c r="C252" s="1">
        <f>D252+L252+N252+P252+R252+T252+V252+X252+Y252+Z252+AA252</f>
        <v>7050163.5199999996</v>
      </c>
      <c r="D252" s="1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8">
        <v>502.48</v>
      </c>
      <c r="P252" s="8">
        <v>6538076.0999999996</v>
      </c>
      <c r="Q252" s="2">
        <v>0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8">
        <v>512087.42</v>
      </c>
      <c r="AA252" s="2">
        <v>0</v>
      </c>
    </row>
    <row r="253" spans="1:27" s="75" customFormat="1" ht="35.25" customHeight="1">
      <c r="A253" s="158" t="s">
        <v>280</v>
      </c>
      <c r="B253" s="160"/>
      <c r="C253" s="1">
        <f>SUM(C254)</f>
        <v>33436089.73</v>
      </c>
      <c r="D253" s="1">
        <f t="shared" ref="D253:AA253" si="103">SUM(D254)</f>
        <v>0</v>
      </c>
      <c r="E253" s="1">
        <f t="shared" si="103"/>
        <v>0</v>
      </c>
      <c r="F253" s="1">
        <f t="shared" si="103"/>
        <v>0</v>
      </c>
      <c r="G253" s="1">
        <f t="shared" si="103"/>
        <v>0</v>
      </c>
      <c r="H253" s="1">
        <f t="shared" si="103"/>
        <v>0</v>
      </c>
      <c r="I253" s="1">
        <f t="shared" si="103"/>
        <v>0</v>
      </c>
      <c r="J253" s="1">
        <f t="shared" si="103"/>
        <v>0</v>
      </c>
      <c r="K253" s="1">
        <f t="shared" si="103"/>
        <v>0</v>
      </c>
      <c r="L253" s="1">
        <f t="shared" si="103"/>
        <v>0</v>
      </c>
      <c r="M253" s="1">
        <f t="shared" si="103"/>
        <v>0</v>
      </c>
      <c r="N253" s="1">
        <f t="shared" si="103"/>
        <v>0</v>
      </c>
      <c r="O253" s="1">
        <f t="shared" si="103"/>
        <v>3684.2</v>
      </c>
      <c r="P253" s="1">
        <f t="shared" si="103"/>
        <v>31007465.09</v>
      </c>
      <c r="Q253" s="1">
        <f t="shared" si="103"/>
        <v>0</v>
      </c>
      <c r="R253" s="1">
        <f t="shared" si="103"/>
        <v>0</v>
      </c>
      <c r="S253" s="1">
        <f t="shared" si="103"/>
        <v>0</v>
      </c>
      <c r="T253" s="1">
        <f t="shared" si="103"/>
        <v>0</v>
      </c>
      <c r="U253" s="1">
        <f t="shared" si="103"/>
        <v>0</v>
      </c>
      <c r="V253" s="1">
        <f t="shared" si="103"/>
        <v>0</v>
      </c>
      <c r="W253" s="1">
        <f t="shared" si="103"/>
        <v>0</v>
      </c>
      <c r="X253" s="1">
        <f t="shared" si="103"/>
        <v>0</v>
      </c>
      <c r="Y253" s="1">
        <f t="shared" si="103"/>
        <v>0</v>
      </c>
      <c r="Z253" s="1">
        <f t="shared" si="103"/>
        <v>2428624.64</v>
      </c>
      <c r="AA253" s="1">
        <f t="shared" si="103"/>
        <v>0</v>
      </c>
    </row>
    <row r="254" spans="1:27" s="75" customFormat="1" ht="34.5" customHeight="1">
      <c r="A254" s="76">
        <v>57</v>
      </c>
      <c r="B254" s="20" t="s">
        <v>871</v>
      </c>
      <c r="C254" s="8">
        <v>33436089.73</v>
      </c>
      <c r="D254" s="1">
        <v>0</v>
      </c>
      <c r="E254" s="8">
        <v>0</v>
      </c>
      <c r="F254" s="8">
        <v>0</v>
      </c>
      <c r="G254" s="8">
        <v>0</v>
      </c>
      <c r="H254" s="8">
        <v>0</v>
      </c>
      <c r="I254" s="8">
        <v>0</v>
      </c>
      <c r="J254" s="8">
        <v>0</v>
      </c>
      <c r="K254" s="8">
        <v>0</v>
      </c>
      <c r="L254" s="8">
        <v>0</v>
      </c>
      <c r="M254" s="8">
        <v>0</v>
      </c>
      <c r="N254" s="8">
        <v>0</v>
      </c>
      <c r="O254" s="18">
        <v>3684.2</v>
      </c>
      <c r="P254" s="8">
        <v>31007465.09</v>
      </c>
      <c r="Q254" s="8">
        <v>0</v>
      </c>
      <c r="R254" s="8">
        <v>0</v>
      </c>
      <c r="S254" s="8">
        <v>0</v>
      </c>
      <c r="T254" s="8">
        <v>0</v>
      </c>
      <c r="U254" s="8">
        <v>0</v>
      </c>
      <c r="V254" s="8">
        <v>0</v>
      </c>
      <c r="W254" s="8">
        <v>0</v>
      </c>
      <c r="X254" s="8">
        <v>0</v>
      </c>
      <c r="Y254" s="8">
        <v>0</v>
      </c>
      <c r="Z254" s="8">
        <v>2428624.64</v>
      </c>
      <c r="AA254" s="8">
        <v>0</v>
      </c>
    </row>
    <row r="255" spans="1:27" s="75" customFormat="1" ht="27.75" customHeight="1">
      <c r="A255" s="158" t="s">
        <v>326</v>
      </c>
      <c r="B255" s="160"/>
      <c r="C255" s="8">
        <f t="shared" ref="C255:AA255" si="104">SUM(C256:C265)</f>
        <v>75077961.909999996</v>
      </c>
      <c r="D255" s="8">
        <f t="shared" si="104"/>
        <v>0</v>
      </c>
      <c r="E255" s="8">
        <f t="shared" si="104"/>
        <v>0</v>
      </c>
      <c r="F255" s="8">
        <f t="shared" si="104"/>
        <v>0</v>
      </c>
      <c r="G255" s="8">
        <f t="shared" si="104"/>
        <v>0</v>
      </c>
      <c r="H255" s="8">
        <f t="shared" si="104"/>
        <v>0</v>
      </c>
      <c r="I255" s="8">
        <f t="shared" si="104"/>
        <v>0</v>
      </c>
      <c r="J255" s="8">
        <f t="shared" si="104"/>
        <v>0</v>
      </c>
      <c r="K255" s="8">
        <f t="shared" si="104"/>
        <v>0</v>
      </c>
      <c r="L255" s="8">
        <f t="shared" si="104"/>
        <v>0</v>
      </c>
      <c r="M255" s="8">
        <f t="shared" si="104"/>
        <v>4</v>
      </c>
      <c r="N255" s="8">
        <f t="shared" si="104"/>
        <v>22722497.469999999</v>
      </c>
      <c r="O255" s="8">
        <f t="shared" si="104"/>
        <v>4167.8</v>
      </c>
      <c r="P255" s="8">
        <f t="shared" si="104"/>
        <v>46902189.560000002</v>
      </c>
      <c r="Q255" s="8">
        <f t="shared" si="104"/>
        <v>0</v>
      </c>
      <c r="R255" s="8">
        <f t="shared" si="104"/>
        <v>0</v>
      </c>
      <c r="S255" s="8">
        <f t="shared" si="104"/>
        <v>0</v>
      </c>
      <c r="T255" s="8">
        <f t="shared" si="104"/>
        <v>0</v>
      </c>
      <c r="U255" s="8">
        <f t="shared" si="104"/>
        <v>0</v>
      </c>
      <c r="V255" s="8">
        <f t="shared" si="104"/>
        <v>0</v>
      </c>
      <c r="W255" s="8">
        <f t="shared" si="104"/>
        <v>0</v>
      </c>
      <c r="X255" s="8">
        <f t="shared" si="104"/>
        <v>0</v>
      </c>
      <c r="Y255" s="8">
        <f t="shared" si="104"/>
        <v>0</v>
      </c>
      <c r="Z255" s="8">
        <f t="shared" si="104"/>
        <v>5453274.879999999</v>
      </c>
      <c r="AA255" s="8">
        <f t="shared" si="104"/>
        <v>0</v>
      </c>
    </row>
    <row r="256" spans="1:27" s="75" customFormat="1" ht="31.5" customHeight="1">
      <c r="A256" s="76">
        <v>58</v>
      </c>
      <c r="B256" s="121" t="s">
        <v>723</v>
      </c>
      <c r="C256" s="8">
        <v>24502211.390000001</v>
      </c>
      <c r="D256" s="1">
        <f t="shared" ref="D256:D264" si="105">E256+F256+G256+H256+I256+J256</f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4</v>
      </c>
      <c r="N256" s="1">
        <v>22722497.469999999</v>
      </c>
      <c r="O256" s="3">
        <v>0</v>
      </c>
      <c r="P256" s="8">
        <v>0</v>
      </c>
      <c r="Q256" s="8">
        <v>0</v>
      </c>
      <c r="R256" s="8">
        <v>0</v>
      </c>
      <c r="S256" s="8">
        <v>0</v>
      </c>
      <c r="T256" s="8">
        <v>0</v>
      </c>
      <c r="U256" s="8">
        <v>0</v>
      </c>
      <c r="V256" s="8">
        <v>0</v>
      </c>
      <c r="W256" s="8">
        <v>0</v>
      </c>
      <c r="X256" s="8">
        <v>0</v>
      </c>
      <c r="Y256" s="8">
        <v>0</v>
      </c>
      <c r="Z256" s="8">
        <v>1779713.92</v>
      </c>
      <c r="AA256" s="8">
        <v>0</v>
      </c>
    </row>
    <row r="257" spans="1:27" s="75" customFormat="1" ht="27.75" customHeight="1">
      <c r="A257" s="76">
        <v>59</v>
      </c>
      <c r="B257" s="121" t="s">
        <v>724</v>
      </c>
      <c r="C257" s="8">
        <f t="shared" ref="C257:C265" si="106">D257+L257+N257+P257+R257+T257+V257+X257+Y257+Z257+AA257</f>
        <v>4618478.5900000008</v>
      </c>
      <c r="D257" s="1">
        <f t="shared" si="105"/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3">
        <v>315</v>
      </c>
      <c r="P257" s="8">
        <v>4283016.1900000004</v>
      </c>
      <c r="Q257" s="8">
        <v>0</v>
      </c>
      <c r="R257" s="8">
        <v>0</v>
      </c>
      <c r="S257" s="8">
        <v>0</v>
      </c>
      <c r="T257" s="8">
        <v>0</v>
      </c>
      <c r="U257" s="8">
        <v>0</v>
      </c>
      <c r="V257" s="8">
        <v>0</v>
      </c>
      <c r="W257" s="8">
        <v>0</v>
      </c>
      <c r="X257" s="8">
        <v>0</v>
      </c>
      <c r="Y257" s="8">
        <v>0</v>
      </c>
      <c r="Z257" s="8">
        <v>335462.40000000002</v>
      </c>
      <c r="AA257" s="8">
        <v>0</v>
      </c>
    </row>
    <row r="258" spans="1:27" s="75" customFormat="1" ht="32.25" customHeight="1">
      <c r="A258" s="76">
        <v>60</v>
      </c>
      <c r="B258" s="121" t="s">
        <v>725</v>
      </c>
      <c r="C258" s="8">
        <f t="shared" si="106"/>
        <v>4281256.3499999996</v>
      </c>
      <c r="D258" s="1">
        <f t="shared" si="105"/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3">
        <v>292</v>
      </c>
      <c r="P258" s="8">
        <v>3970288.03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310968.32000000001</v>
      </c>
      <c r="AA258" s="8">
        <v>0</v>
      </c>
    </row>
    <row r="259" spans="1:27" s="75" customFormat="1" ht="31.5" customHeight="1">
      <c r="A259" s="76">
        <v>61</v>
      </c>
      <c r="B259" s="121" t="s">
        <v>872</v>
      </c>
      <c r="C259" s="8">
        <f t="shared" si="106"/>
        <v>4097983.3899999997</v>
      </c>
      <c r="D259" s="1">
        <f t="shared" si="105"/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3">
        <v>279.5</v>
      </c>
      <c r="P259" s="8">
        <v>3800327.07</v>
      </c>
      <c r="Q259" s="8">
        <v>0</v>
      </c>
      <c r="R259" s="8">
        <v>0</v>
      </c>
      <c r="S259" s="8">
        <v>0</v>
      </c>
      <c r="T259" s="8">
        <v>0</v>
      </c>
      <c r="U259" s="8">
        <v>0</v>
      </c>
      <c r="V259" s="8">
        <v>0</v>
      </c>
      <c r="W259" s="8">
        <v>0</v>
      </c>
      <c r="X259" s="8">
        <v>0</v>
      </c>
      <c r="Y259" s="8">
        <v>0</v>
      </c>
      <c r="Z259" s="8">
        <v>297656.32000000001</v>
      </c>
      <c r="AA259" s="8">
        <v>0</v>
      </c>
    </row>
    <row r="260" spans="1:27" s="75" customFormat="1" ht="30" customHeight="1">
      <c r="A260" s="76">
        <v>62</v>
      </c>
      <c r="B260" s="121" t="s">
        <v>853</v>
      </c>
      <c r="C260" s="8">
        <f t="shared" si="106"/>
        <v>5908720.2299999995</v>
      </c>
      <c r="D260" s="1">
        <f t="shared" si="105"/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3">
        <v>403</v>
      </c>
      <c r="P260" s="8">
        <v>5479541.3499999996</v>
      </c>
      <c r="Q260" s="8">
        <v>0</v>
      </c>
      <c r="R260" s="8">
        <v>0</v>
      </c>
      <c r="S260" s="8">
        <v>0</v>
      </c>
      <c r="T260" s="8">
        <v>0</v>
      </c>
      <c r="U260" s="8">
        <v>0</v>
      </c>
      <c r="V260" s="8">
        <v>0</v>
      </c>
      <c r="W260" s="8">
        <v>0</v>
      </c>
      <c r="X260" s="8">
        <v>0</v>
      </c>
      <c r="Y260" s="8">
        <v>0</v>
      </c>
      <c r="Z260" s="8">
        <v>429178.88</v>
      </c>
      <c r="AA260" s="8">
        <v>0</v>
      </c>
    </row>
    <row r="261" spans="1:27" s="75" customFormat="1" ht="32.25" customHeight="1">
      <c r="A261" s="76">
        <v>63</v>
      </c>
      <c r="B261" s="121" t="s">
        <v>727</v>
      </c>
      <c r="C261" s="8">
        <f t="shared" si="106"/>
        <v>6671135.7400000002</v>
      </c>
      <c r="D261" s="1">
        <f t="shared" si="105"/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3">
        <v>455</v>
      </c>
      <c r="P261" s="8">
        <v>6186578.9400000004</v>
      </c>
      <c r="Q261" s="8">
        <v>0</v>
      </c>
      <c r="R261" s="8">
        <v>0</v>
      </c>
      <c r="S261" s="8">
        <v>0</v>
      </c>
      <c r="T261" s="8">
        <v>0</v>
      </c>
      <c r="U261" s="8">
        <v>0</v>
      </c>
      <c r="V261" s="8">
        <v>0</v>
      </c>
      <c r="W261" s="8">
        <v>0</v>
      </c>
      <c r="X261" s="8">
        <v>0</v>
      </c>
      <c r="Y261" s="8">
        <v>0</v>
      </c>
      <c r="Z261" s="8">
        <v>484556.79999999999</v>
      </c>
      <c r="AA261" s="8">
        <v>0</v>
      </c>
    </row>
    <row r="262" spans="1:27" s="75" customFormat="1" ht="31.5" customHeight="1">
      <c r="A262" s="76">
        <v>64</v>
      </c>
      <c r="B262" s="121" t="s">
        <v>873</v>
      </c>
      <c r="C262" s="8">
        <f t="shared" si="106"/>
        <v>7714205.5999999996</v>
      </c>
      <c r="D262" s="1">
        <f t="shared" si="105"/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3">
        <v>850</v>
      </c>
      <c r="P262" s="8">
        <v>7153885.5999999996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  <c r="V262" s="8">
        <v>0</v>
      </c>
      <c r="W262" s="8">
        <v>0</v>
      </c>
      <c r="X262" s="8">
        <v>0</v>
      </c>
      <c r="Y262" s="8">
        <v>0</v>
      </c>
      <c r="Z262" s="8">
        <v>560320</v>
      </c>
      <c r="AA262" s="8">
        <v>0</v>
      </c>
    </row>
    <row r="263" spans="1:27" s="75" customFormat="1" ht="36.75" customHeight="1">
      <c r="A263" s="76">
        <v>65</v>
      </c>
      <c r="B263" s="121" t="s">
        <v>729</v>
      </c>
      <c r="C263" s="8">
        <f t="shared" si="106"/>
        <v>7888068.1999999993</v>
      </c>
      <c r="D263" s="1">
        <f t="shared" si="105"/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3">
        <v>538</v>
      </c>
      <c r="P263" s="8">
        <v>7315119.7199999997</v>
      </c>
      <c r="Q263" s="8">
        <v>0</v>
      </c>
      <c r="R263" s="8">
        <v>0</v>
      </c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>
        <v>0</v>
      </c>
      <c r="Y263" s="8">
        <v>0</v>
      </c>
      <c r="Z263" s="8">
        <v>572948.47999999998</v>
      </c>
      <c r="AA263" s="8">
        <v>0</v>
      </c>
    </row>
    <row r="264" spans="1:27" s="75" customFormat="1" ht="27" customHeight="1">
      <c r="A264" s="76">
        <v>66</v>
      </c>
      <c r="B264" s="121" t="s">
        <v>854</v>
      </c>
      <c r="C264" s="8">
        <f t="shared" si="106"/>
        <v>5311911.22</v>
      </c>
      <c r="D264" s="1">
        <f t="shared" si="105"/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3">
        <v>585.29999999999995</v>
      </c>
      <c r="P264" s="8">
        <v>4926081.46</v>
      </c>
      <c r="Q264" s="8">
        <v>0</v>
      </c>
      <c r="R264" s="8">
        <v>0</v>
      </c>
      <c r="S264" s="8">
        <v>0</v>
      </c>
      <c r="T264" s="8">
        <v>0</v>
      </c>
      <c r="U264" s="8">
        <v>0</v>
      </c>
      <c r="V264" s="8">
        <v>0</v>
      </c>
      <c r="W264" s="8">
        <v>0</v>
      </c>
      <c r="X264" s="8">
        <v>0</v>
      </c>
      <c r="Y264" s="8">
        <v>0</v>
      </c>
      <c r="Z264" s="8">
        <v>385829.76</v>
      </c>
      <c r="AA264" s="8">
        <v>0</v>
      </c>
    </row>
    <row r="265" spans="1:27" s="75" customFormat="1" ht="27" customHeight="1">
      <c r="A265" s="76">
        <v>67</v>
      </c>
      <c r="B265" s="121" t="s">
        <v>453</v>
      </c>
      <c r="C265" s="8">
        <f t="shared" si="106"/>
        <v>4083991.2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3">
        <v>450</v>
      </c>
      <c r="P265" s="8">
        <v>3787351.2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</v>
      </c>
      <c r="W265" s="8">
        <v>0</v>
      </c>
      <c r="X265" s="8">
        <v>0</v>
      </c>
      <c r="Y265" s="8">
        <v>0</v>
      </c>
      <c r="Z265" s="8">
        <v>296640</v>
      </c>
      <c r="AA265" s="8">
        <v>0</v>
      </c>
    </row>
    <row r="266" spans="1:27" s="101" customFormat="1" ht="30.75" customHeight="1">
      <c r="A266" s="158" t="s">
        <v>141</v>
      </c>
      <c r="B266" s="160"/>
      <c r="C266" s="8">
        <f>C267</f>
        <v>10491277.32</v>
      </c>
      <c r="D266" s="8">
        <f t="shared" ref="D266:AA266" si="107">D267</f>
        <v>0</v>
      </c>
      <c r="E266" s="8">
        <f t="shared" si="107"/>
        <v>0</v>
      </c>
      <c r="F266" s="8">
        <f t="shared" si="107"/>
        <v>0</v>
      </c>
      <c r="G266" s="8">
        <f t="shared" si="107"/>
        <v>0</v>
      </c>
      <c r="H266" s="8">
        <f t="shared" si="107"/>
        <v>0</v>
      </c>
      <c r="I266" s="8">
        <f t="shared" si="107"/>
        <v>0</v>
      </c>
      <c r="J266" s="8">
        <f t="shared" si="107"/>
        <v>0</v>
      </c>
      <c r="K266" s="8">
        <f t="shared" si="107"/>
        <v>0</v>
      </c>
      <c r="L266" s="8">
        <f t="shared" si="107"/>
        <v>0</v>
      </c>
      <c r="M266" s="8">
        <f t="shared" si="107"/>
        <v>0</v>
      </c>
      <c r="N266" s="8">
        <f t="shared" si="107"/>
        <v>0</v>
      </c>
      <c r="O266" s="8">
        <f t="shared" si="107"/>
        <v>715.55</v>
      </c>
      <c r="P266" s="8">
        <f t="shared" si="107"/>
        <v>9729245.1899999995</v>
      </c>
      <c r="Q266" s="8">
        <f t="shared" si="107"/>
        <v>0</v>
      </c>
      <c r="R266" s="8">
        <f t="shared" si="107"/>
        <v>0</v>
      </c>
      <c r="S266" s="8">
        <f t="shared" si="107"/>
        <v>0</v>
      </c>
      <c r="T266" s="8">
        <f t="shared" si="107"/>
        <v>0</v>
      </c>
      <c r="U266" s="8">
        <f t="shared" si="107"/>
        <v>0</v>
      </c>
      <c r="V266" s="8">
        <f t="shared" si="107"/>
        <v>0</v>
      </c>
      <c r="W266" s="8">
        <f t="shared" si="107"/>
        <v>0</v>
      </c>
      <c r="X266" s="8">
        <f t="shared" si="107"/>
        <v>0</v>
      </c>
      <c r="Y266" s="8">
        <f t="shared" si="107"/>
        <v>0</v>
      </c>
      <c r="Z266" s="8">
        <f t="shared" si="107"/>
        <v>762032.13</v>
      </c>
      <c r="AA266" s="8">
        <f t="shared" si="107"/>
        <v>0</v>
      </c>
    </row>
    <row r="267" spans="1:27" s="101" customFormat="1" ht="33.75" customHeight="1">
      <c r="A267" s="76">
        <v>68</v>
      </c>
      <c r="B267" s="7" t="s">
        <v>500</v>
      </c>
      <c r="C267" s="1">
        <f>D267+L267+N267+P267+R267+T267+V267+X267+Y267+Z267+AA267</f>
        <v>10491277.32</v>
      </c>
      <c r="D267" s="8">
        <f>E267+F267+G267+H267+I267+J267</f>
        <v>0</v>
      </c>
      <c r="E267" s="8">
        <v>0</v>
      </c>
      <c r="F267" s="8">
        <v>0</v>
      </c>
      <c r="G267" s="8">
        <v>0</v>
      </c>
      <c r="H267" s="8">
        <v>0</v>
      </c>
      <c r="I267" s="8">
        <v>0</v>
      </c>
      <c r="J267" s="8">
        <v>0</v>
      </c>
      <c r="K267" s="8">
        <v>0</v>
      </c>
      <c r="L267" s="8">
        <v>0</v>
      </c>
      <c r="M267" s="8">
        <v>0</v>
      </c>
      <c r="N267" s="8">
        <v>0</v>
      </c>
      <c r="O267" s="1">
        <v>715.55</v>
      </c>
      <c r="P267" s="1">
        <v>9729245.1899999995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5">
        <v>762032.13</v>
      </c>
      <c r="AA267" s="2">
        <v>0</v>
      </c>
    </row>
    <row r="268" spans="1:27" s="75" customFormat="1" ht="29.25" customHeight="1">
      <c r="A268" s="158" t="s">
        <v>139</v>
      </c>
      <c r="B268" s="160"/>
      <c r="C268" s="1">
        <v>8776575.5099999998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599.6</v>
      </c>
      <c r="P268" s="1">
        <v>8139090.4500000002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637485.06000000006</v>
      </c>
      <c r="AA268" s="1">
        <v>0</v>
      </c>
    </row>
    <row r="269" spans="1:27" ht="30.75" customHeight="1">
      <c r="A269" s="76">
        <v>69</v>
      </c>
      <c r="B269" s="7" t="s">
        <v>545</v>
      </c>
      <c r="C269" s="1">
        <v>8776575.5099999998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3">
        <v>599.6</v>
      </c>
      <c r="P269" s="1">
        <v>8139090.4500000002</v>
      </c>
      <c r="Q269" s="3">
        <v>0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3">
        <v>0</v>
      </c>
      <c r="X269" s="3">
        <v>0</v>
      </c>
      <c r="Y269" s="3">
        <v>0</v>
      </c>
      <c r="Z269" s="1">
        <v>637485.06000000006</v>
      </c>
      <c r="AA269" s="2">
        <v>0</v>
      </c>
    </row>
    <row r="270" spans="1:27" ht="39" customHeight="1">
      <c r="A270" s="158" t="s">
        <v>318</v>
      </c>
      <c r="B270" s="160"/>
      <c r="C270" s="1">
        <f>SUM(C271:C272)</f>
        <v>24408586.050000001</v>
      </c>
      <c r="D270" s="1">
        <f t="shared" ref="D270:AA270" si="108">SUM(D271:D272)</f>
        <v>0</v>
      </c>
      <c r="E270" s="1">
        <f t="shared" si="108"/>
        <v>0</v>
      </c>
      <c r="F270" s="1">
        <f t="shared" si="108"/>
        <v>0</v>
      </c>
      <c r="G270" s="1">
        <f t="shared" si="108"/>
        <v>0</v>
      </c>
      <c r="H270" s="1">
        <f t="shared" si="108"/>
        <v>0</v>
      </c>
      <c r="I270" s="1">
        <f t="shared" si="108"/>
        <v>0</v>
      </c>
      <c r="J270" s="1">
        <f t="shared" si="108"/>
        <v>0</v>
      </c>
      <c r="K270" s="1">
        <f t="shared" si="108"/>
        <v>0</v>
      </c>
      <c r="L270" s="1">
        <f t="shared" si="108"/>
        <v>0</v>
      </c>
      <c r="M270" s="1">
        <f t="shared" si="108"/>
        <v>0</v>
      </c>
      <c r="N270" s="1">
        <f t="shared" si="108"/>
        <v>0</v>
      </c>
      <c r="O270" s="1">
        <f t="shared" si="108"/>
        <v>1664.77</v>
      </c>
      <c r="P270" s="1">
        <f t="shared" si="108"/>
        <v>22635672.59</v>
      </c>
      <c r="Q270" s="1">
        <f t="shared" si="108"/>
        <v>0</v>
      </c>
      <c r="R270" s="1">
        <f t="shared" si="108"/>
        <v>0</v>
      </c>
      <c r="S270" s="1">
        <f t="shared" si="108"/>
        <v>0</v>
      </c>
      <c r="T270" s="1">
        <f t="shared" si="108"/>
        <v>0</v>
      </c>
      <c r="U270" s="1">
        <f t="shared" si="108"/>
        <v>0</v>
      </c>
      <c r="V270" s="1">
        <f t="shared" si="108"/>
        <v>0</v>
      </c>
      <c r="W270" s="1">
        <f t="shared" si="108"/>
        <v>0</v>
      </c>
      <c r="X270" s="1">
        <f t="shared" si="108"/>
        <v>0</v>
      </c>
      <c r="Y270" s="1">
        <f t="shared" si="108"/>
        <v>0</v>
      </c>
      <c r="Z270" s="1">
        <f t="shared" si="108"/>
        <v>1772913.46</v>
      </c>
      <c r="AA270" s="1">
        <f t="shared" si="108"/>
        <v>0</v>
      </c>
    </row>
    <row r="271" spans="1:27" ht="34.5" customHeight="1">
      <c r="A271" s="76">
        <v>70</v>
      </c>
      <c r="B271" s="136" t="s">
        <v>731</v>
      </c>
      <c r="C271" s="1">
        <f>D271+L271+N271+P271+R271+T271+V271+X271+Y271+Z271+AA271</f>
        <v>17256981.91</v>
      </c>
      <c r="D271" s="8">
        <f>E271+F271+G271+H271+I271+J271</f>
        <v>0</v>
      </c>
      <c r="E271" s="8">
        <v>0</v>
      </c>
      <c r="F271" s="8">
        <v>0</v>
      </c>
      <c r="G271" s="8">
        <v>0</v>
      </c>
      <c r="H271" s="8">
        <v>0</v>
      </c>
      <c r="I271" s="8">
        <v>0</v>
      </c>
      <c r="J271" s="8">
        <v>0</v>
      </c>
      <c r="K271" s="8">
        <v>0</v>
      </c>
      <c r="L271" s="8">
        <v>0</v>
      </c>
      <c r="M271" s="8">
        <v>0</v>
      </c>
      <c r="N271" s="8">
        <v>0</v>
      </c>
      <c r="O271" s="18">
        <v>1177</v>
      </c>
      <c r="P271" s="1">
        <v>16003523.99</v>
      </c>
      <c r="Q271" s="8">
        <v>0</v>
      </c>
      <c r="R271" s="8">
        <v>0</v>
      </c>
      <c r="S271" s="8">
        <v>0</v>
      </c>
      <c r="T271" s="8">
        <v>0</v>
      </c>
      <c r="U271" s="8">
        <v>0</v>
      </c>
      <c r="V271" s="8">
        <v>0</v>
      </c>
      <c r="W271" s="8">
        <v>0</v>
      </c>
      <c r="X271" s="8">
        <v>0</v>
      </c>
      <c r="Y271" s="8">
        <v>0</v>
      </c>
      <c r="Z271" s="8">
        <v>1253457.9199999999</v>
      </c>
      <c r="AA271" s="8">
        <v>0</v>
      </c>
    </row>
    <row r="272" spans="1:27" ht="33.75" customHeight="1">
      <c r="A272" s="76">
        <v>71</v>
      </c>
      <c r="B272" s="136" t="s">
        <v>323</v>
      </c>
      <c r="C272" s="1">
        <f t="shared" ref="C272" si="109">D272+L272+N272+P272+R272+T272+V272+X272+Y272+Z272+AA272</f>
        <v>7151604.1399999997</v>
      </c>
      <c r="D272" s="8">
        <f t="shared" ref="D272" si="110">E272+F272+G272+H272+I272+J272</f>
        <v>0</v>
      </c>
      <c r="E272" s="8">
        <v>0</v>
      </c>
      <c r="F272" s="8">
        <v>0</v>
      </c>
      <c r="G272" s="8">
        <v>0</v>
      </c>
      <c r="H272" s="8">
        <v>0</v>
      </c>
      <c r="I272" s="8">
        <v>0</v>
      </c>
      <c r="J272" s="8">
        <v>0</v>
      </c>
      <c r="K272" s="8">
        <v>0</v>
      </c>
      <c r="L272" s="8">
        <v>0</v>
      </c>
      <c r="M272" s="8">
        <v>0</v>
      </c>
      <c r="N272" s="8">
        <v>0</v>
      </c>
      <c r="O272" s="3">
        <v>487.77</v>
      </c>
      <c r="P272" s="1">
        <v>6632148.5999999996</v>
      </c>
      <c r="Q272" s="8">
        <v>0</v>
      </c>
      <c r="R272" s="8">
        <v>0</v>
      </c>
      <c r="S272" s="8">
        <v>0</v>
      </c>
      <c r="T272" s="8">
        <v>0</v>
      </c>
      <c r="U272" s="8">
        <v>0</v>
      </c>
      <c r="V272" s="8">
        <v>0</v>
      </c>
      <c r="W272" s="8">
        <v>0</v>
      </c>
      <c r="X272" s="8">
        <v>0</v>
      </c>
      <c r="Y272" s="8">
        <v>0</v>
      </c>
      <c r="Z272" s="8">
        <v>519455.54</v>
      </c>
      <c r="AA272" s="8">
        <v>0</v>
      </c>
    </row>
    <row r="273" spans="1:27" s="75" customFormat="1" ht="39" customHeight="1">
      <c r="A273" s="158" t="s">
        <v>462</v>
      </c>
      <c r="B273" s="160"/>
      <c r="C273" s="1">
        <f>SUM(C274:C278)</f>
        <v>22456948.959999997</v>
      </c>
      <c r="D273" s="1">
        <f t="shared" ref="D273:AA273" si="111">SUM(D274:D278)</f>
        <v>0</v>
      </c>
      <c r="E273" s="1">
        <f t="shared" si="111"/>
        <v>0</v>
      </c>
      <c r="F273" s="1">
        <f t="shared" si="111"/>
        <v>0</v>
      </c>
      <c r="G273" s="1">
        <f t="shared" si="111"/>
        <v>0</v>
      </c>
      <c r="H273" s="1">
        <f t="shared" si="111"/>
        <v>0</v>
      </c>
      <c r="I273" s="1">
        <f t="shared" si="111"/>
        <v>0</v>
      </c>
      <c r="J273" s="1">
        <f t="shared" si="111"/>
        <v>0</v>
      </c>
      <c r="K273" s="1">
        <v>0</v>
      </c>
      <c r="L273" s="1">
        <f t="shared" si="111"/>
        <v>0</v>
      </c>
      <c r="M273" s="1">
        <v>0</v>
      </c>
      <c r="N273" s="1">
        <f t="shared" si="111"/>
        <v>0</v>
      </c>
      <c r="O273" s="1">
        <f t="shared" si="111"/>
        <v>1531.66</v>
      </c>
      <c r="P273" s="1">
        <f t="shared" si="111"/>
        <v>20825792.329999998</v>
      </c>
      <c r="Q273" s="1">
        <f t="shared" si="111"/>
        <v>0</v>
      </c>
      <c r="R273" s="1">
        <f t="shared" si="111"/>
        <v>0</v>
      </c>
      <c r="S273" s="1">
        <f t="shared" si="111"/>
        <v>0</v>
      </c>
      <c r="T273" s="1">
        <f t="shared" si="111"/>
        <v>0</v>
      </c>
      <c r="U273" s="1">
        <f t="shared" si="111"/>
        <v>0</v>
      </c>
      <c r="V273" s="1">
        <f t="shared" si="111"/>
        <v>0</v>
      </c>
      <c r="W273" s="1">
        <f t="shared" si="111"/>
        <v>0</v>
      </c>
      <c r="X273" s="1">
        <f t="shared" si="111"/>
        <v>0</v>
      </c>
      <c r="Y273" s="1">
        <f t="shared" si="111"/>
        <v>0</v>
      </c>
      <c r="Z273" s="1">
        <f t="shared" si="111"/>
        <v>1631156.63</v>
      </c>
      <c r="AA273" s="1">
        <f t="shared" si="111"/>
        <v>0</v>
      </c>
    </row>
    <row r="274" spans="1:27" s="75" customFormat="1" ht="33.75" customHeight="1">
      <c r="A274" s="120">
        <v>72</v>
      </c>
      <c r="B274" s="121" t="s">
        <v>53</v>
      </c>
      <c r="C274" s="1">
        <f>D274+L274+N274+P274+R274+T274+V274+X274+Y274+Z274+AA274</f>
        <v>4867729.8199999994</v>
      </c>
      <c r="D274" s="1">
        <f>E274+F274+G274+H274+I274+J274</f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3">
        <v>332</v>
      </c>
      <c r="P274" s="4">
        <v>4514163.0999999996</v>
      </c>
      <c r="Q274" s="3">
        <v>0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  <c r="Z274" s="1">
        <v>353566.71999999997</v>
      </c>
      <c r="AA274" s="2">
        <v>0</v>
      </c>
    </row>
    <row r="275" spans="1:27" s="75" customFormat="1" ht="33" customHeight="1">
      <c r="A275" s="120">
        <v>73</v>
      </c>
      <c r="B275" s="121" t="s">
        <v>732</v>
      </c>
      <c r="C275" s="1">
        <f>D275+L275+N275+P275+R275+T275+V275+X275+Y275+Z275+AA275</f>
        <v>4435205.63</v>
      </c>
      <c r="D275" s="1">
        <f>E275+F275+G275+H275+I275+J275</f>
        <v>0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3">
        <v>302.5</v>
      </c>
      <c r="P275" s="4">
        <v>4113055.23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1">
        <v>322150.40000000002</v>
      </c>
      <c r="AA275" s="2">
        <v>0</v>
      </c>
    </row>
    <row r="276" spans="1:27" s="75" customFormat="1" ht="41.25" customHeight="1">
      <c r="A276" s="120">
        <v>74</v>
      </c>
      <c r="B276" s="121" t="s">
        <v>54</v>
      </c>
      <c r="C276" s="1">
        <f t="shared" ref="C276:C278" si="112">D276+L276+N276+P276+R276+T276+V276+X276+Y276+Z276+AA276</f>
        <v>4503529.79</v>
      </c>
      <c r="D276" s="1">
        <f t="shared" ref="D276:D278" si="113">E276+F276+G276+H276+I276+J276</f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3">
        <v>307.16000000000003</v>
      </c>
      <c r="P276" s="4">
        <v>4176416.68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1">
        <v>327113.11</v>
      </c>
      <c r="AA276" s="2">
        <v>0</v>
      </c>
    </row>
    <row r="277" spans="1:27" s="75" customFormat="1" ht="30.75" customHeight="1">
      <c r="A277" s="120">
        <v>75</v>
      </c>
      <c r="B277" s="121" t="s">
        <v>55</v>
      </c>
      <c r="C277" s="1">
        <f t="shared" si="112"/>
        <v>4970362.6800000006</v>
      </c>
      <c r="D277" s="1">
        <f t="shared" si="113"/>
        <v>0</v>
      </c>
      <c r="E277" s="2">
        <v>0</v>
      </c>
      <c r="F277" s="2">
        <v>0</v>
      </c>
      <c r="G277" s="2">
        <v>0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3">
        <v>339</v>
      </c>
      <c r="P277" s="4">
        <v>4609341.24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1">
        <v>361021.44</v>
      </c>
      <c r="AA277" s="2">
        <v>0</v>
      </c>
    </row>
    <row r="278" spans="1:27" s="75" customFormat="1" ht="33" customHeight="1">
      <c r="A278" s="120">
        <v>76</v>
      </c>
      <c r="B278" s="121" t="s">
        <v>56</v>
      </c>
      <c r="C278" s="1">
        <f t="shared" si="112"/>
        <v>3680121.04</v>
      </c>
      <c r="D278" s="1">
        <f t="shared" si="113"/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3">
        <v>251</v>
      </c>
      <c r="P278" s="4">
        <v>3412816.08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1">
        <v>267304.96000000002</v>
      </c>
      <c r="AA278" s="2">
        <v>0</v>
      </c>
    </row>
    <row r="279" spans="1:27" ht="36" customHeight="1">
      <c r="A279" s="158" t="s">
        <v>461</v>
      </c>
      <c r="B279" s="160"/>
      <c r="C279" s="1">
        <f>C280</f>
        <v>15432679.130000001</v>
      </c>
      <c r="D279" s="1">
        <f t="shared" ref="D279:AA279" si="114">D280</f>
        <v>0</v>
      </c>
      <c r="E279" s="1">
        <f t="shared" si="114"/>
        <v>0</v>
      </c>
      <c r="F279" s="1">
        <f t="shared" si="114"/>
        <v>0</v>
      </c>
      <c r="G279" s="1">
        <f t="shared" si="114"/>
        <v>0</v>
      </c>
      <c r="H279" s="1">
        <f t="shared" si="114"/>
        <v>0</v>
      </c>
      <c r="I279" s="1">
        <f t="shared" si="114"/>
        <v>0</v>
      </c>
      <c r="J279" s="1">
        <f t="shared" si="114"/>
        <v>0</v>
      </c>
      <c r="K279" s="1">
        <f t="shared" si="114"/>
        <v>0</v>
      </c>
      <c r="L279" s="1">
        <f t="shared" si="114"/>
        <v>0</v>
      </c>
      <c r="M279" s="1">
        <f t="shared" si="114"/>
        <v>0</v>
      </c>
      <c r="N279" s="1">
        <f t="shared" si="114"/>
        <v>0</v>
      </c>
      <c r="O279" s="1">
        <f t="shared" si="114"/>
        <v>1125</v>
      </c>
      <c r="P279" s="1">
        <f t="shared" si="114"/>
        <v>14311729.130000001</v>
      </c>
      <c r="Q279" s="1">
        <f t="shared" si="114"/>
        <v>0</v>
      </c>
      <c r="R279" s="1">
        <f t="shared" si="114"/>
        <v>0</v>
      </c>
      <c r="S279" s="1">
        <f t="shared" si="114"/>
        <v>0</v>
      </c>
      <c r="T279" s="1">
        <f t="shared" si="114"/>
        <v>0</v>
      </c>
      <c r="U279" s="1">
        <f t="shared" si="114"/>
        <v>0</v>
      </c>
      <c r="V279" s="1">
        <f t="shared" si="114"/>
        <v>0</v>
      </c>
      <c r="W279" s="1">
        <f t="shared" si="114"/>
        <v>0</v>
      </c>
      <c r="X279" s="1">
        <f t="shared" si="114"/>
        <v>0</v>
      </c>
      <c r="Y279" s="1">
        <f t="shared" si="114"/>
        <v>0</v>
      </c>
      <c r="Z279" s="1">
        <f t="shared" si="114"/>
        <v>1120950</v>
      </c>
      <c r="AA279" s="1">
        <f t="shared" si="114"/>
        <v>0</v>
      </c>
    </row>
    <row r="280" spans="1:27" ht="31.5" customHeight="1">
      <c r="A280" s="76">
        <v>77</v>
      </c>
      <c r="B280" s="136" t="s">
        <v>454</v>
      </c>
      <c r="C280" s="1">
        <f t="shared" ref="C280" si="115">D280+L280+N280+P280+R280+T280+V280+X280+Y280+Z280+AA280</f>
        <v>15432679.130000001</v>
      </c>
      <c r="D280" s="8">
        <f t="shared" ref="D280" si="116">E280+F280+G280+H280+I280+J280</f>
        <v>0</v>
      </c>
      <c r="E280" s="8">
        <v>0</v>
      </c>
      <c r="F280" s="8">
        <v>0</v>
      </c>
      <c r="G280" s="8">
        <v>0</v>
      </c>
      <c r="H280" s="8">
        <v>0</v>
      </c>
      <c r="I280" s="8">
        <v>0</v>
      </c>
      <c r="J280" s="8">
        <v>0</v>
      </c>
      <c r="K280" s="8">
        <v>0</v>
      </c>
      <c r="L280" s="8">
        <v>0</v>
      </c>
      <c r="M280" s="8">
        <v>0</v>
      </c>
      <c r="N280" s="8">
        <v>0</v>
      </c>
      <c r="O280" s="3">
        <v>1125</v>
      </c>
      <c r="P280" s="1">
        <v>14311729.130000001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1120950</v>
      </c>
      <c r="AA280" s="8">
        <v>0</v>
      </c>
    </row>
    <row r="281" spans="1:27" ht="33.75" customHeight="1">
      <c r="A281" s="158" t="s">
        <v>333</v>
      </c>
      <c r="B281" s="160"/>
      <c r="C281" s="1">
        <f>C282+C283+C284</f>
        <v>34732645.920000002</v>
      </c>
      <c r="D281" s="1">
        <f t="shared" ref="D281:AA281" si="117">D282+D283+D284</f>
        <v>0</v>
      </c>
      <c r="E281" s="1">
        <f t="shared" si="117"/>
        <v>0</v>
      </c>
      <c r="F281" s="1">
        <f t="shared" si="117"/>
        <v>0</v>
      </c>
      <c r="G281" s="1">
        <f t="shared" si="117"/>
        <v>0</v>
      </c>
      <c r="H281" s="1">
        <f t="shared" si="117"/>
        <v>0</v>
      </c>
      <c r="I281" s="1">
        <f t="shared" si="117"/>
        <v>0</v>
      </c>
      <c r="J281" s="1">
        <f t="shared" si="117"/>
        <v>0</v>
      </c>
      <c r="K281" s="1">
        <f t="shared" si="117"/>
        <v>0</v>
      </c>
      <c r="L281" s="1">
        <f t="shared" si="117"/>
        <v>0</v>
      </c>
      <c r="M281" s="1">
        <f t="shared" si="117"/>
        <v>3</v>
      </c>
      <c r="N281" s="1">
        <f t="shared" si="117"/>
        <v>17041873.109999999</v>
      </c>
      <c r="O281" s="1">
        <f t="shared" si="117"/>
        <v>1151.5999999999999</v>
      </c>
      <c r="P281" s="1">
        <f t="shared" si="117"/>
        <v>15167973.029999999</v>
      </c>
      <c r="Q281" s="1">
        <f t="shared" si="117"/>
        <v>0</v>
      </c>
      <c r="R281" s="1">
        <f t="shared" si="117"/>
        <v>0</v>
      </c>
      <c r="S281" s="1">
        <f t="shared" si="117"/>
        <v>0</v>
      </c>
      <c r="T281" s="1">
        <f t="shared" si="117"/>
        <v>0</v>
      </c>
      <c r="U281" s="1">
        <f t="shared" si="117"/>
        <v>0</v>
      </c>
      <c r="V281" s="1">
        <f t="shared" si="117"/>
        <v>0</v>
      </c>
      <c r="W281" s="1">
        <f t="shared" si="117"/>
        <v>0</v>
      </c>
      <c r="X281" s="1">
        <f t="shared" si="117"/>
        <v>0</v>
      </c>
      <c r="Y281" s="1">
        <f t="shared" si="117"/>
        <v>0</v>
      </c>
      <c r="Z281" s="1">
        <f t="shared" si="117"/>
        <v>2522799.7799999998</v>
      </c>
      <c r="AA281" s="1">
        <f t="shared" si="117"/>
        <v>0</v>
      </c>
    </row>
    <row r="282" spans="1:27" ht="33" customHeight="1">
      <c r="A282" s="76">
        <v>78</v>
      </c>
      <c r="B282" s="14" t="s">
        <v>546</v>
      </c>
      <c r="C282" s="1">
        <f>P282+Z282</f>
        <v>7682044.7199999997</v>
      </c>
      <c r="D282" s="8">
        <f>E282+F282+G282+H282+I282+J282</f>
        <v>0</v>
      </c>
      <c r="E282" s="8">
        <v>0</v>
      </c>
      <c r="F282" s="8">
        <v>0</v>
      </c>
      <c r="G282" s="8">
        <v>0</v>
      </c>
      <c r="H282" s="8">
        <v>0</v>
      </c>
      <c r="I282" s="8">
        <v>0</v>
      </c>
      <c r="J282" s="8">
        <v>0</v>
      </c>
      <c r="K282" s="8">
        <v>0</v>
      </c>
      <c r="L282" s="8">
        <v>0</v>
      </c>
      <c r="M282" s="8">
        <v>0</v>
      </c>
      <c r="N282" s="8">
        <v>0</v>
      </c>
      <c r="O282" s="1">
        <v>560</v>
      </c>
      <c r="P282" s="1">
        <v>7124060.7199999997</v>
      </c>
      <c r="Q282" s="8">
        <v>0</v>
      </c>
      <c r="R282" s="8">
        <v>0</v>
      </c>
      <c r="S282" s="8">
        <v>0</v>
      </c>
      <c r="T282" s="8">
        <v>0</v>
      </c>
      <c r="U282" s="8">
        <v>0</v>
      </c>
      <c r="V282" s="8">
        <v>0</v>
      </c>
      <c r="W282" s="8">
        <v>0</v>
      </c>
      <c r="X282" s="8">
        <v>0</v>
      </c>
      <c r="Y282" s="8">
        <v>0</v>
      </c>
      <c r="Z282" s="1">
        <v>557984</v>
      </c>
      <c r="AA282" s="8">
        <v>0</v>
      </c>
    </row>
    <row r="283" spans="1:27" ht="33" customHeight="1">
      <c r="A283" s="76">
        <v>79</v>
      </c>
      <c r="B283" s="60" t="s">
        <v>447</v>
      </c>
      <c r="C283" s="1">
        <f>P283+Z283</f>
        <v>8673942.6500000004</v>
      </c>
      <c r="D283" s="8">
        <f t="shared" ref="D283:D284" si="118">E283+F283+G283+H283+I283+J283</f>
        <v>0</v>
      </c>
      <c r="E283" s="8">
        <v>0</v>
      </c>
      <c r="F283" s="8">
        <v>0</v>
      </c>
      <c r="G283" s="8">
        <v>0</v>
      </c>
      <c r="H283" s="8">
        <v>0</v>
      </c>
      <c r="I283" s="8">
        <v>0</v>
      </c>
      <c r="J283" s="8">
        <v>0</v>
      </c>
      <c r="K283" s="8">
        <v>0</v>
      </c>
      <c r="L283" s="8">
        <v>0</v>
      </c>
      <c r="M283" s="8">
        <v>0</v>
      </c>
      <c r="N283" s="8">
        <v>0</v>
      </c>
      <c r="O283" s="1">
        <v>591.6</v>
      </c>
      <c r="P283" s="1">
        <v>8043912.3099999996</v>
      </c>
      <c r="Q283" s="8">
        <v>0</v>
      </c>
      <c r="R283" s="8">
        <v>0</v>
      </c>
      <c r="S283" s="8">
        <v>0</v>
      </c>
      <c r="T283" s="8">
        <v>0</v>
      </c>
      <c r="U283" s="8">
        <v>0</v>
      </c>
      <c r="V283" s="8">
        <v>0</v>
      </c>
      <c r="W283" s="8">
        <v>0</v>
      </c>
      <c r="X283" s="8">
        <v>0</v>
      </c>
      <c r="Y283" s="8">
        <v>0</v>
      </c>
      <c r="Z283" s="1">
        <v>630030.34</v>
      </c>
      <c r="AA283" s="8">
        <v>0</v>
      </c>
    </row>
    <row r="284" spans="1:27" ht="36.75" customHeight="1">
      <c r="A284" s="76">
        <v>80</v>
      </c>
      <c r="B284" s="14" t="s">
        <v>564</v>
      </c>
      <c r="C284" s="1">
        <f>N284+Z284</f>
        <v>18376658.550000001</v>
      </c>
      <c r="D284" s="8">
        <f t="shared" si="118"/>
        <v>0</v>
      </c>
      <c r="E284" s="8">
        <v>0</v>
      </c>
      <c r="F284" s="8">
        <v>0</v>
      </c>
      <c r="G284" s="8">
        <v>0</v>
      </c>
      <c r="H284" s="8">
        <v>0</v>
      </c>
      <c r="I284" s="8">
        <v>0</v>
      </c>
      <c r="J284" s="8">
        <v>0</v>
      </c>
      <c r="K284" s="8">
        <v>0</v>
      </c>
      <c r="L284" s="8">
        <v>0</v>
      </c>
      <c r="M284" s="16">
        <v>3</v>
      </c>
      <c r="N284" s="1">
        <v>17041873.109999999</v>
      </c>
      <c r="O284" s="8">
        <v>0</v>
      </c>
      <c r="P284" s="8"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1334785.44</v>
      </c>
      <c r="AA284" s="8">
        <v>0</v>
      </c>
    </row>
    <row r="285" spans="1:27" s="75" customFormat="1" ht="34.5" customHeight="1">
      <c r="A285" s="188" t="s">
        <v>640</v>
      </c>
      <c r="B285" s="189"/>
      <c r="C285" s="189"/>
      <c r="D285" s="189"/>
      <c r="E285" s="189"/>
      <c r="F285" s="189"/>
      <c r="G285" s="189"/>
      <c r="H285" s="189"/>
      <c r="I285" s="189"/>
      <c r="J285" s="189"/>
      <c r="K285" s="189"/>
      <c r="L285" s="189"/>
      <c r="M285" s="189"/>
      <c r="N285" s="189"/>
      <c r="O285" s="189"/>
      <c r="P285" s="189"/>
      <c r="Q285" s="189"/>
      <c r="R285" s="189"/>
      <c r="S285" s="189"/>
      <c r="T285" s="189"/>
      <c r="U285" s="189"/>
      <c r="V285" s="189"/>
      <c r="W285" s="189"/>
      <c r="X285" s="189"/>
      <c r="Y285" s="189"/>
      <c r="Z285" s="189"/>
      <c r="AA285" s="190"/>
    </row>
    <row r="286" spans="1:27" ht="33" customHeight="1">
      <c r="A286" s="158" t="s">
        <v>328</v>
      </c>
      <c r="B286" s="160"/>
      <c r="C286" s="1">
        <f>SUM(C287+C296+C301+C303+C305+C309+C315+C321+C323+C325+C327+C330+C332+C336+C353+C355+C358+C363+C365+C369+C371+C380+C382+C385+C388)</f>
        <v>916128688.43000007</v>
      </c>
      <c r="D286" s="1">
        <f t="shared" ref="D286:AA286" si="119">SUM(D287+D296+D301+D303+D305+D309+D315+D321+D323+D325+D327+D330+D332+D336+D353+D355+D358+D363+D365+D369+D371+D380+D382+D385+D388)</f>
        <v>55912267.419999994</v>
      </c>
      <c r="E286" s="1">
        <f t="shared" si="119"/>
        <v>10534388.66</v>
      </c>
      <c r="F286" s="1">
        <f t="shared" si="119"/>
        <v>15368561.289999999</v>
      </c>
      <c r="G286" s="1">
        <f t="shared" si="119"/>
        <v>9876819.9299999997</v>
      </c>
      <c r="H286" s="1">
        <f t="shared" si="119"/>
        <v>7346050.5699999994</v>
      </c>
      <c r="I286" s="1">
        <f t="shared" si="119"/>
        <v>7346050.5699999994</v>
      </c>
      <c r="J286" s="1">
        <f t="shared" si="119"/>
        <v>5440396.4000000004</v>
      </c>
      <c r="K286" s="1">
        <f t="shared" si="119"/>
        <v>3</v>
      </c>
      <c r="L286" s="1">
        <f t="shared" si="119"/>
        <v>768327.72</v>
      </c>
      <c r="M286" s="1">
        <f t="shared" si="119"/>
        <v>23</v>
      </c>
      <c r="N286" s="1">
        <f t="shared" si="119"/>
        <v>150737212.04000002</v>
      </c>
      <c r="O286" s="1">
        <f t="shared" si="119"/>
        <v>50103.05</v>
      </c>
      <c r="P286" s="1">
        <f t="shared" si="119"/>
        <v>568442649.68000007</v>
      </c>
      <c r="Q286" s="1">
        <f t="shared" si="119"/>
        <v>0</v>
      </c>
      <c r="R286" s="1">
        <f t="shared" si="119"/>
        <v>0</v>
      </c>
      <c r="S286" s="1">
        <f t="shared" si="119"/>
        <v>397.6</v>
      </c>
      <c r="T286" s="1">
        <f t="shared" si="119"/>
        <v>2856162.07</v>
      </c>
      <c r="U286" s="1">
        <f t="shared" si="119"/>
        <v>5100</v>
      </c>
      <c r="V286" s="1">
        <f t="shared" si="119"/>
        <v>64379761.259999998</v>
      </c>
      <c r="W286" s="1">
        <f t="shared" si="119"/>
        <v>126</v>
      </c>
      <c r="X286" s="1">
        <f t="shared" si="119"/>
        <v>6300838.6400000006</v>
      </c>
      <c r="Y286" s="1">
        <f t="shared" si="119"/>
        <v>0</v>
      </c>
      <c r="Z286" s="1">
        <f t="shared" si="119"/>
        <v>66731469.599999994</v>
      </c>
      <c r="AA286" s="1">
        <f t="shared" si="119"/>
        <v>0</v>
      </c>
    </row>
    <row r="287" spans="1:27" ht="35.25" customHeight="1">
      <c r="A287" s="158" t="s">
        <v>475</v>
      </c>
      <c r="B287" s="160"/>
      <c r="C287" s="1">
        <f>SUM(C288:C295)</f>
        <v>279574637.33000004</v>
      </c>
      <c r="D287" s="1">
        <f t="shared" ref="D287:AA287" si="120">SUM(D288:D295)</f>
        <v>50435628.889999993</v>
      </c>
      <c r="E287" s="1">
        <f t="shared" si="120"/>
        <v>5057750.13</v>
      </c>
      <c r="F287" s="1">
        <f t="shared" si="120"/>
        <v>15368561.289999999</v>
      </c>
      <c r="G287" s="1">
        <f t="shared" si="120"/>
        <v>9876819.9299999997</v>
      </c>
      <c r="H287" s="1">
        <f t="shared" si="120"/>
        <v>7346050.5699999994</v>
      </c>
      <c r="I287" s="1">
        <f t="shared" si="120"/>
        <v>7346050.5699999994</v>
      </c>
      <c r="J287" s="1">
        <f t="shared" si="120"/>
        <v>5440396.4000000004</v>
      </c>
      <c r="K287" s="1">
        <f t="shared" si="120"/>
        <v>3</v>
      </c>
      <c r="L287" s="1">
        <f t="shared" si="120"/>
        <v>768327.72</v>
      </c>
      <c r="M287" s="1">
        <f t="shared" si="120"/>
        <v>13</v>
      </c>
      <c r="N287" s="1">
        <f t="shared" si="120"/>
        <v>91488300.480000004</v>
      </c>
      <c r="O287" s="1">
        <f t="shared" si="120"/>
        <v>4206.6000000000004</v>
      </c>
      <c r="P287" s="1">
        <f t="shared" si="120"/>
        <v>52195763.18</v>
      </c>
      <c r="Q287" s="1">
        <f t="shared" si="120"/>
        <v>0</v>
      </c>
      <c r="R287" s="1">
        <f t="shared" si="120"/>
        <v>0</v>
      </c>
      <c r="S287" s="1">
        <f t="shared" si="120"/>
        <v>0</v>
      </c>
      <c r="T287" s="1">
        <f t="shared" si="120"/>
        <v>0</v>
      </c>
      <c r="U287" s="1">
        <f t="shared" si="120"/>
        <v>5100</v>
      </c>
      <c r="V287" s="1">
        <f t="shared" si="120"/>
        <v>64379761.259999998</v>
      </c>
      <c r="W287" s="1">
        <f t="shared" si="120"/>
        <v>0</v>
      </c>
      <c r="X287" s="1">
        <f t="shared" si="120"/>
        <v>0</v>
      </c>
      <c r="Y287" s="1">
        <f t="shared" si="120"/>
        <v>0</v>
      </c>
      <c r="Z287" s="1">
        <f t="shared" si="120"/>
        <v>20306855.800000001</v>
      </c>
      <c r="AA287" s="1">
        <f t="shared" si="120"/>
        <v>0</v>
      </c>
    </row>
    <row r="288" spans="1:27" ht="31.5" customHeight="1">
      <c r="A288" s="120">
        <v>1</v>
      </c>
      <c r="B288" s="121" t="s">
        <v>586</v>
      </c>
      <c r="C288" s="1">
        <v>15377511.100000001</v>
      </c>
      <c r="D288" s="1">
        <v>0</v>
      </c>
      <c r="E288" s="8">
        <v>0</v>
      </c>
      <c r="F288" s="8">
        <v>0</v>
      </c>
      <c r="G288" s="8">
        <v>0</v>
      </c>
      <c r="H288" s="8">
        <v>0</v>
      </c>
      <c r="I288" s="8">
        <v>0</v>
      </c>
      <c r="J288" s="8">
        <v>0</v>
      </c>
      <c r="K288" s="8">
        <v>0</v>
      </c>
      <c r="L288" s="8">
        <v>0</v>
      </c>
      <c r="M288" s="1">
        <v>2</v>
      </c>
      <c r="N288" s="1">
        <v>14260568.220000001</v>
      </c>
      <c r="O288" s="8">
        <v>0</v>
      </c>
      <c r="P288" s="8">
        <v>0</v>
      </c>
      <c r="Q288" s="8">
        <v>0</v>
      </c>
      <c r="R288" s="8">
        <v>0</v>
      </c>
      <c r="S288" s="8">
        <v>0</v>
      </c>
      <c r="T288" s="8">
        <v>0</v>
      </c>
      <c r="U288" s="8">
        <v>0</v>
      </c>
      <c r="V288" s="8">
        <v>0</v>
      </c>
      <c r="W288" s="8">
        <v>0</v>
      </c>
      <c r="X288" s="8">
        <v>0</v>
      </c>
      <c r="Y288" s="8">
        <v>0</v>
      </c>
      <c r="Z288" s="1">
        <v>1116942.8799999999</v>
      </c>
      <c r="AA288" s="8">
        <v>0</v>
      </c>
    </row>
    <row r="289" spans="1:27" ht="31.5" customHeight="1">
      <c r="A289" s="120">
        <v>2</v>
      </c>
      <c r="B289" s="121" t="s">
        <v>631</v>
      </c>
      <c r="C289" s="1">
        <v>15377511.100000001</v>
      </c>
      <c r="D289" s="1">
        <v>0</v>
      </c>
      <c r="E289" s="8">
        <v>0</v>
      </c>
      <c r="F289" s="8">
        <v>0</v>
      </c>
      <c r="G289" s="8">
        <v>0</v>
      </c>
      <c r="H289" s="8">
        <v>0</v>
      </c>
      <c r="I289" s="8">
        <v>0</v>
      </c>
      <c r="J289" s="8">
        <v>0</v>
      </c>
      <c r="K289" s="8">
        <v>0</v>
      </c>
      <c r="L289" s="8">
        <v>0</v>
      </c>
      <c r="M289" s="1">
        <v>2</v>
      </c>
      <c r="N289" s="1">
        <v>14260568.220000001</v>
      </c>
      <c r="O289" s="8">
        <v>0</v>
      </c>
      <c r="P289" s="8">
        <v>0</v>
      </c>
      <c r="Q289" s="8">
        <v>0</v>
      </c>
      <c r="R289" s="8">
        <v>0</v>
      </c>
      <c r="S289" s="8">
        <v>0</v>
      </c>
      <c r="T289" s="8">
        <v>0</v>
      </c>
      <c r="U289" s="8">
        <v>0</v>
      </c>
      <c r="V289" s="8">
        <v>0</v>
      </c>
      <c r="W289" s="8">
        <v>0</v>
      </c>
      <c r="X289" s="8">
        <v>0</v>
      </c>
      <c r="Y289" s="8">
        <v>0</v>
      </c>
      <c r="Z289" s="1">
        <v>1116942.8799999999</v>
      </c>
      <c r="AA289" s="8">
        <v>0</v>
      </c>
    </row>
    <row r="290" spans="1:27" ht="31.5" customHeight="1">
      <c r="A290" s="120">
        <v>3</v>
      </c>
      <c r="B290" s="121" t="s">
        <v>353</v>
      </c>
      <c r="C290" s="1">
        <v>30755022.200000003</v>
      </c>
      <c r="D290" s="1">
        <v>0</v>
      </c>
      <c r="E290" s="8">
        <v>0</v>
      </c>
      <c r="F290" s="8">
        <v>0</v>
      </c>
      <c r="G290" s="8">
        <v>0</v>
      </c>
      <c r="H290" s="8">
        <v>0</v>
      </c>
      <c r="I290" s="8">
        <v>0</v>
      </c>
      <c r="J290" s="8">
        <v>0</v>
      </c>
      <c r="K290" s="8">
        <v>0</v>
      </c>
      <c r="L290" s="8">
        <v>0</v>
      </c>
      <c r="M290" s="1">
        <v>4</v>
      </c>
      <c r="N290" s="1">
        <v>28521136.440000001</v>
      </c>
      <c r="O290" s="8">
        <v>0</v>
      </c>
      <c r="P290" s="8">
        <v>0</v>
      </c>
      <c r="Q290" s="8">
        <v>0</v>
      </c>
      <c r="R290" s="8">
        <v>0</v>
      </c>
      <c r="S290" s="8">
        <v>0</v>
      </c>
      <c r="T290" s="8">
        <v>0</v>
      </c>
      <c r="U290" s="8">
        <v>0</v>
      </c>
      <c r="V290" s="8">
        <v>0</v>
      </c>
      <c r="W290" s="8">
        <v>0</v>
      </c>
      <c r="X290" s="8">
        <v>0</v>
      </c>
      <c r="Y290" s="8">
        <v>0</v>
      </c>
      <c r="Z290" s="1">
        <v>2233885.7599999998</v>
      </c>
      <c r="AA290" s="8">
        <v>0</v>
      </c>
    </row>
    <row r="291" spans="1:27" ht="27" customHeight="1">
      <c r="A291" s="120">
        <v>4</v>
      </c>
      <c r="B291" s="121" t="s">
        <v>354</v>
      </c>
      <c r="C291" s="1">
        <v>30755022.200000003</v>
      </c>
      <c r="D291" s="1">
        <v>0</v>
      </c>
      <c r="E291" s="8">
        <v>0</v>
      </c>
      <c r="F291" s="8">
        <v>0</v>
      </c>
      <c r="G291" s="8">
        <v>0</v>
      </c>
      <c r="H291" s="8">
        <v>0</v>
      </c>
      <c r="I291" s="8">
        <v>0</v>
      </c>
      <c r="J291" s="8">
        <v>0</v>
      </c>
      <c r="K291" s="8">
        <v>0</v>
      </c>
      <c r="L291" s="8">
        <v>0</v>
      </c>
      <c r="M291" s="1">
        <v>4</v>
      </c>
      <c r="N291" s="1">
        <v>28521136.440000001</v>
      </c>
      <c r="O291" s="8">
        <v>0</v>
      </c>
      <c r="P291" s="8">
        <v>0</v>
      </c>
      <c r="Q291" s="8">
        <v>0</v>
      </c>
      <c r="R291" s="8">
        <v>0</v>
      </c>
      <c r="S291" s="8">
        <v>0</v>
      </c>
      <c r="T291" s="8">
        <v>0</v>
      </c>
      <c r="U291" s="8">
        <v>0</v>
      </c>
      <c r="V291" s="8">
        <v>0</v>
      </c>
      <c r="W291" s="8">
        <v>0</v>
      </c>
      <c r="X291" s="8">
        <v>0</v>
      </c>
      <c r="Y291" s="8">
        <v>0</v>
      </c>
      <c r="Z291" s="1">
        <v>2233885.7599999998</v>
      </c>
      <c r="AA291" s="8">
        <v>0</v>
      </c>
    </row>
    <row r="292" spans="1:27" ht="35.25" customHeight="1">
      <c r="A292" s="120">
        <v>5</v>
      </c>
      <c r="B292" s="121" t="s">
        <v>632</v>
      </c>
      <c r="C292" s="1">
        <v>6388951.5600000005</v>
      </c>
      <c r="D292" s="1">
        <v>0</v>
      </c>
      <c r="E292" s="8">
        <v>0</v>
      </c>
      <c r="F292" s="8">
        <v>0</v>
      </c>
      <c r="G292" s="8">
        <v>0</v>
      </c>
      <c r="H292" s="8">
        <v>0</v>
      </c>
      <c r="I292" s="8">
        <v>0</v>
      </c>
      <c r="J292" s="8">
        <v>0</v>
      </c>
      <c r="K292" s="8">
        <v>0</v>
      </c>
      <c r="L292" s="8">
        <v>0</v>
      </c>
      <c r="M292" s="1">
        <v>1</v>
      </c>
      <c r="N292" s="1">
        <v>5924891.1600000001</v>
      </c>
      <c r="O292" s="8">
        <v>0</v>
      </c>
      <c r="P292" s="8">
        <v>0</v>
      </c>
      <c r="Q292" s="8">
        <v>0</v>
      </c>
      <c r="R292" s="8">
        <v>0</v>
      </c>
      <c r="S292" s="8">
        <v>0</v>
      </c>
      <c r="T292" s="8">
        <v>0</v>
      </c>
      <c r="U292" s="8">
        <v>0</v>
      </c>
      <c r="V292" s="8">
        <v>0</v>
      </c>
      <c r="W292" s="8">
        <v>0</v>
      </c>
      <c r="X292" s="8">
        <v>0</v>
      </c>
      <c r="Y292" s="8">
        <v>0</v>
      </c>
      <c r="Z292" s="1">
        <v>464060.4</v>
      </c>
      <c r="AA292" s="8">
        <v>0</v>
      </c>
    </row>
    <row r="293" spans="1:27" ht="32.25" customHeight="1">
      <c r="A293" s="120">
        <v>6</v>
      </c>
      <c r="B293" s="121" t="s">
        <v>633</v>
      </c>
      <c r="C293" s="1">
        <v>79003407.230000004</v>
      </c>
      <c r="D293" s="1">
        <v>50435628.889999993</v>
      </c>
      <c r="E293" s="1">
        <v>5057750.13</v>
      </c>
      <c r="F293" s="1">
        <v>15368561.289999999</v>
      </c>
      <c r="G293" s="1">
        <v>9876819.9299999997</v>
      </c>
      <c r="H293" s="1">
        <v>7346050.5699999994</v>
      </c>
      <c r="I293" s="1">
        <v>7346050.5699999994</v>
      </c>
      <c r="J293" s="1">
        <v>5440396.4000000004</v>
      </c>
      <c r="K293" s="1">
        <v>3</v>
      </c>
      <c r="L293" s="1">
        <v>768327.72</v>
      </c>
      <c r="M293" s="8">
        <v>0</v>
      </c>
      <c r="N293" s="8">
        <v>0</v>
      </c>
      <c r="O293" s="1">
        <v>1662.6</v>
      </c>
      <c r="P293" s="1">
        <v>22061051.700000003</v>
      </c>
      <c r="Q293" s="8">
        <v>0</v>
      </c>
      <c r="R293" s="8">
        <v>0</v>
      </c>
      <c r="S293" s="8">
        <v>0</v>
      </c>
      <c r="T293" s="8">
        <v>0</v>
      </c>
      <c r="U293" s="8">
        <v>0</v>
      </c>
      <c r="V293" s="8">
        <v>0</v>
      </c>
      <c r="W293" s="8">
        <v>0</v>
      </c>
      <c r="X293" s="8">
        <v>0</v>
      </c>
      <c r="Y293" s="8">
        <v>0</v>
      </c>
      <c r="Z293" s="1">
        <v>5738398.9199999999</v>
      </c>
      <c r="AA293" s="8">
        <v>0</v>
      </c>
    </row>
    <row r="294" spans="1:27" ht="29.25" customHeight="1">
      <c r="A294" s="120">
        <v>7</v>
      </c>
      <c r="B294" s="121" t="s">
        <v>337</v>
      </c>
      <c r="C294" s="1">
        <v>79834208.019999996</v>
      </c>
      <c r="D294" s="1">
        <v>0</v>
      </c>
      <c r="E294" s="8">
        <v>0</v>
      </c>
      <c r="F294" s="8">
        <v>0</v>
      </c>
      <c r="G294" s="8">
        <v>0</v>
      </c>
      <c r="H294" s="8">
        <v>0</v>
      </c>
      <c r="I294" s="8">
        <v>0</v>
      </c>
      <c r="J294" s="8">
        <v>0</v>
      </c>
      <c r="K294" s="8">
        <v>0</v>
      </c>
      <c r="L294" s="8">
        <v>0</v>
      </c>
      <c r="M294" s="8">
        <v>0</v>
      </c>
      <c r="N294" s="8">
        <v>0</v>
      </c>
      <c r="O294" s="1">
        <v>1100</v>
      </c>
      <c r="P294" s="1">
        <v>9655702.7599999998</v>
      </c>
      <c r="Q294" s="8">
        <v>0</v>
      </c>
      <c r="R294" s="8">
        <v>0</v>
      </c>
      <c r="S294" s="8">
        <v>0</v>
      </c>
      <c r="T294" s="8">
        <v>0</v>
      </c>
      <c r="U294" s="1">
        <v>5100</v>
      </c>
      <c r="V294" s="1">
        <v>64379761.259999998</v>
      </c>
      <c r="W294" s="8">
        <v>0</v>
      </c>
      <c r="X294" s="8">
        <v>0</v>
      </c>
      <c r="Y294" s="8">
        <v>0</v>
      </c>
      <c r="Z294" s="1">
        <v>5798744</v>
      </c>
      <c r="AA294" s="8">
        <v>0</v>
      </c>
    </row>
    <row r="295" spans="1:27" ht="31.5" customHeight="1">
      <c r="A295" s="120">
        <v>8</v>
      </c>
      <c r="B295" s="121" t="s">
        <v>355</v>
      </c>
      <c r="C295" s="1">
        <v>22083003.919999998</v>
      </c>
      <c r="D295" s="1">
        <v>0</v>
      </c>
      <c r="E295" s="8">
        <v>0</v>
      </c>
      <c r="F295" s="8">
        <v>0</v>
      </c>
      <c r="G295" s="8">
        <v>0</v>
      </c>
      <c r="H295" s="8">
        <v>0</v>
      </c>
      <c r="I295" s="8">
        <v>0</v>
      </c>
      <c r="J295" s="8">
        <v>0</v>
      </c>
      <c r="K295" s="8">
        <v>0</v>
      </c>
      <c r="L295" s="8">
        <v>0</v>
      </c>
      <c r="M295" s="8">
        <v>0</v>
      </c>
      <c r="N295" s="8">
        <v>0</v>
      </c>
      <c r="O295" s="1">
        <v>1444</v>
      </c>
      <c r="P295" s="1">
        <v>20479008.719999999</v>
      </c>
      <c r="Q295" s="8">
        <v>0</v>
      </c>
      <c r="R295" s="8">
        <v>0</v>
      </c>
      <c r="S295" s="8">
        <v>0</v>
      </c>
      <c r="T295" s="8">
        <v>0</v>
      </c>
      <c r="U295" s="8">
        <v>0</v>
      </c>
      <c r="V295" s="8">
        <v>0</v>
      </c>
      <c r="W295" s="8">
        <v>0</v>
      </c>
      <c r="X295" s="8">
        <v>0</v>
      </c>
      <c r="Y295" s="8">
        <v>0</v>
      </c>
      <c r="Z295" s="1">
        <v>1603995.2</v>
      </c>
      <c r="AA295" s="8">
        <v>0</v>
      </c>
    </row>
    <row r="296" spans="1:27" s="75" customFormat="1" ht="39.75" customHeight="1">
      <c r="A296" s="158" t="s">
        <v>462</v>
      </c>
      <c r="B296" s="160"/>
      <c r="C296" s="1">
        <f>SUM(C297:C300)</f>
        <v>21525446.109999999</v>
      </c>
      <c r="D296" s="1">
        <f t="shared" ref="D296:AA296" si="121">SUM(D297:D300)</f>
        <v>0</v>
      </c>
      <c r="E296" s="1">
        <f t="shared" si="121"/>
        <v>0</v>
      </c>
      <c r="F296" s="1">
        <f t="shared" si="121"/>
        <v>0</v>
      </c>
      <c r="G296" s="1">
        <f t="shared" si="121"/>
        <v>0</v>
      </c>
      <c r="H296" s="1">
        <f t="shared" si="121"/>
        <v>0</v>
      </c>
      <c r="I296" s="1">
        <f t="shared" si="121"/>
        <v>0</v>
      </c>
      <c r="J296" s="1">
        <f t="shared" si="121"/>
        <v>0</v>
      </c>
      <c r="K296" s="1">
        <f t="shared" si="121"/>
        <v>0</v>
      </c>
      <c r="L296" s="1">
        <f t="shared" si="121"/>
        <v>0</v>
      </c>
      <c r="M296" s="1">
        <f t="shared" si="121"/>
        <v>0</v>
      </c>
      <c r="N296" s="1">
        <f t="shared" si="121"/>
        <v>0</v>
      </c>
      <c r="O296" s="1">
        <f t="shared" si="121"/>
        <v>1206.1500000000001</v>
      </c>
      <c r="P296" s="1">
        <f t="shared" si="121"/>
        <v>17105786.960000001</v>
      </c>
      <c r="Q296" s="1">
        <f t="shared" si="121"/>
        <v>0</v>
      </c>
      <c r="R296" s="1">
        <f t="shared" si="121"/>
        <v>0</v>
      </c>
      <c r="S296" s="1">
        <f t="shared" si="121"/>
        <v>397.6</v>
      </c>
      <c r="T296" s="1">
        <f t="shared" si="121"/>
        <v>2856162.07</v>
      </c>
      <c r="U296" s="1">
        <f t="shared" si="121"/>
        <v>0</v>
      </c>
      <c r="V296" s="1">
        <f t="shared" si="121"/>
        <v>0</v>
      </c>
      <c r="W296" s="1">
        <f t="shared" si="121"/>
        <v>0</v>
      </c>
      <c r="X296" s="1">
        <f t="shared" si="121"/>
        <v>0</v>
      </c>
      <c r="Y296" s="1">
        <f t="shared" si="121"/>
        <v>0</v>
      </c>
      <c r="Z296" s="1">
        <f t="shared" si="121"/>
        <v>1563497.0799999998</v>
      </c>
      <c r="AA296" s="1">
        <f t="shared" si="121"/>
        <v>0</v>
      </c>
    </row>
    <row r="297" spans="1:27" s="75" customFormat="1" ht="30" customHeight="1">
      <c r="A297" s="76">
        <v>9</v>
      </c>
      <c r="B297" s="121" t="s">
        <v>57</v>
      </c>
      <c r="C297" s="1">
        <f>D297+L297+N297+P297+R297+T297+V297+X297+Y297+Z297+AA297</f>
        <v>4152797.59</v>
      </c>
      <c r="D297" s="1">
        <f>E297+F297+G297+H297+I297+J297</f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3">
        <v>271.55</v>
      </c>
      <c r="P297" s="8">
        <v>3851159.85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1">
        <v>301637.74</v>
      </c>
      <c r="AA297" s="2">
        <v>0</v>
      </c>
    </row>
    <row r="298" spans="1:27" s="75" customFormat="1" ht="29.25" customHeight="1">
      <c r="A298" s="76">
        <v>10</v>
      </c>
      <c r="B298" s="121" t="s">
        <v>58</v>
      </c>
      <c r="C298" s="1">
        <f t="shared" ref="C298:C300" si="122">D298+L298+N298+P298+R298+T298+V298+X298+Y298+Z298+AA298</f>
        <v>9252228.0999999996</v>
      </c>
      <c r="D298" s="1">
        <f t="shared" ref="D298:D300" si="123">E298+F298+G298+H298+I298+J298</f>
        <v>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3">
        <v>605</v>
      </c>
      <c r="P298" s="8">
        <v>8580194.0999999996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1">
        <v>672034</v>
      </c>
      <c r="AA298" s="2">
        <v>0</v>
      </c>
    </row>
    <row r="299" spans="1:27" s="75" customFormat="1" ht="32.25" customHeight="1">
      <c r="A299" s="76">
        <v>11</v>
      </c>
      <c r="B299" s="121" t="s">
        <v>59</v>
      </c>
      <c r="C299" s="1">
        <f t="shared" si="122"/>
        <v>3079867.73</v>
      </c>
      <c r="D299" s="1">
        <f t="shared" si="123"/>
        <v>0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3">
        <v>0</v>
      </c>
      <c r="P299" s="8">
        <v>0</v>
      </c>
      <c r="Q299" s="3">
        <v>0</v>
      </c>
      <c r="R299" s="3">
        <v>0</v>
      </c>
      <c r="S299" s="3">
        <v>397.6</v>
      </c>
      <c r="T299" s="63">
        <v>2856162.07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1">
        <v>223705.66</v>
      </c>
      <c r="AA299" s="2">
        <v>0</v>
      </c>
    </row>
    <row r="300" spans="1:27" s="75" customFormat="1" ht="35.25" customHeight="1">
      <c r="A300" s="76">
        <v>12</v>
      </c>
      <c r="B300" s="121" t="s">
        <v>734</v>
      </c>
      <c r="C300" s="1">
        <f t="shared" si="122"/>
        <v>5040552.6899999995</v>
      </c>
      <c r="D300" s="1">
        <f t="shared" si="123"/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3">
        <v>329.6</v>
      </c>
      <c r="P300" s="8">
        <v>4674433.01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1">
        <v>366119.67999999999</v>
      </c>
      <c r="AA300" s="2">
        <v>0</v>
      </c>
    </row>
    <row r="301" spans="1:27" s="75" customFormat="1" ht="32.25" customHeight="1">
      <c r="A301" s="158" t="s">
        <v>153</v>
      </c>
      <c r="B301" s="160"/>
      <c r="C301" s="1">
        <f>SUM(C302)</f>
        <v>17339134.239999998</v>
      </c>
      <c r="D301" s="1">
        <f t="shared" ref="D301:AA301" si="124">SUM(D302)</f>
        <v>0</v>
      </c>
      <c r="E301" s="1">
        <f t="shared" si="124"/>
        <v>0</v>
      </c>
      <c r="F301" s="1">
        <f t="shared" si="124"/>
        <v>0</v>
      </c>
      <c r="G301" s="1">
        <f t="shared" si="124"/>
        <v>0</v>
      </c>
      <c r="H301" s="1">
        <f t="shared" si="124"/>
        <v>0</v>
      </c>
      <c r="I301" s="1">
        <f t="shared" si="124"/>
        <v>0</v>
      </c>
      <c r="J301" s="1">
        <f t="shared" si="124"/>
        <v>0</v>
      </c>
      <c r="K301" s="1">
        <f t="shared" si="124"/>
        <v>0</v>
      </c>
      <c r="L301" s="1">
        <f t="shared" si="124"/>
        <v>0</v>
      </c>
      <c r="M301" s="1">
        <f t="shared" si="124"/>
        <v>0</v>
      </c>
      <c r="N301" s="1">
        <f t="shared" si="124"/>
        <v>0</v>
      </c>
      <c r="O301" s="1">
        <f t="shared" si="124"/>
        <v>1133.8</v>
      </c>
      <c r="P301" s="1">
        <f t="shared" si="124"/>
        <v>16079709.199999999</v>
      </c>
      <c r="Q301" s="1">
        <f t="shared" si="124"/>
        <v>0</v>
      </c>
      <c r="R301" s="1">
        <f t="shared" si="124"/>
        <v>0</v>
      </c>
      <c r="S301" s="1">
        <f t="shared" si="124"/>
        <v>0</v>
      </c>
      <c r="T301" s="1">
        <f t="shared" si="124"/>
        <v>0</v>
      </c>
      <c r="U301" s="1">
        <f t="shared" si="124"/>
        <v>0</v>
      </c>
      <c r="V301" s="1">
        <f t="shared" si="124"/>
        <v>0</v>
      </c>
      <c r="W301" s="1">
        <f t="shared" si="124"/>
        <v>0</v>
      </c>
      <c r="X301" s="1">
        <f t="shared" si="124"/>
        <v>0</v>
      </c>
      <c r="Y301" s="1">
        <f t="shared" si="124"/>
        <v>0</v>
      </c>
      <c r="Z301" s="1">
        <f t="shared" si="124"/>
        <v>1259425.04</v>
      </c>
      <c r="AA301" s="1">
        <f t="shared" si="124"/>
        <v>0</v>
      </c>
    </row>
    <row r="302" spans="1:27" s="75" customFormat="1" ht="32.25" customHeight="1">
      <c r="A302" s="76">
        <v>13</v>
      </c>
      <c r="B302" s="121" t="s">
        <v>515</v>
      </c>
      <c r="C302" s="8">
        <f>D302+L302+N302+P302+R302+T302+V302+X302+Y302+Z302+AA302</f>
        <v>17339134.239999998</v>
      </c>
      <c r="D302" s="1">
        <f>E302+F302+G302+H302+I302+J302</f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8">
        <v>0</v>
      </c>
      <c r="O302" s="8">
        <v>1133.8</v>
      </c>
      <c r="P302" s="1">
        <v>16079709.199999999</v>
      </c>
      <c r="Q302" s="8">
        <v>0</v>
      </c>
      <c r="R302" s="8">
        <v>0</v>
      </c>
      <c r="S302" s="8">
        <v>0</v>
      </c>
      <c r="T302" s="8">
        <v>0</v>
      </c>
      <c r="U302" s="8">
        <v>0</v>
      </c>
      <c r="V302" s="8">
        <v>0</v>
      </c>
      <c r="W302" s="8">
        <v>0</v>
      </c>
      <c r="X302" s="8">
        <v>0</v>
      </c>
      <c r="Y302" s="8">
        <v>0</v>
      </c>
      <c r="Z302" s="8">
        <v>1259425.04</v>
      </c>
      <c r="AA302" s="8">
        <v>0</v>
      </c>
    </row>
    <row r="303" spans="1:27" s="75" customFormat="1" ht="29.25" customHeight="1">
      <c r="A303" s="158" t="s">
        <v>222</v>
      </c>
      <c r="B303" s="160"/>
      <c r="C303" s="1">
        <f>SUM(C304)</f>
        <v>6881368.7700000005</v>
      </c>
      <c r="D303" s="1">
        <f t="shared" ref="D303:AA303" si="125">SUM(D304)</f>
        <v>0</v>
      </c>
      <c r="E303" s="1">
        <f t="shared" si="125"/>
        <v>0</v>
      </c>
      <c r="F303" s="1">
        <f t="shared" si="125"/>
        <v>0</v>
      </c>
      <c r="G303" s="1">
        <f t="shared" si="125"/>
        <v>0</v>
      </c>
      <c r="H303" s="1">
        <f t="shared" si="125"/>
        <v>0</v>
      </c>
      <c r="I303" s="1">
        <f t="shared" si="125"/>
        <v>0</v>
      </c>
      <c r="J303" s="1">
        <f t="shared" si="125"/>
        <v>0</v>
      </c>
      <c r="K303" s="1">
        <f t="shared" si="125"/>
        <v>0</v>
      </c>
      <c r="L303" s="1">
        <f t="shared" si="125"/>
        <v>0</v>
      </c>
      <c r="M303" s="1">
        <f t="shared" si="125"/>
        <v>0</v>
      </c>
      <c r="N303" s="1">
        <f t="shared" si="125"/>
        <v>0</v>
      </c>
      <c r="O303" s="1">
        <f t="shared" si="125"/>
        <v>727</v>
      </c>
      <c r="P303" s="1">
        <f t="shared" si="125"/>
        <v>6381541.7300000004</v>
      </c>
      <c r="Q303" s="1">
        <f t="shared" si="125"/>
        <v>0</v>
      </c>
      <c r="R303" s="1">
        <f t="shared" si="125"/>
        <v>0</v>
      </c>
      <c r="S303" s="1">
        <f t="shared" si="125"/>
        <v>0</v>
      </c>
      <c r="T303" s="1">
        <f t="shared" si="125"/>
        <v>0</v>
      </c>
      <c r="U303" s="1">
        <f t="shared" si="125"/>
        <v>0</v>
      </c>
      <c r="V303" s="1">
        <f t="shared" si="125"/>
        <v>0</v>
      </c>
      <c r="W303" s="1">
        <f t="shared" si="125"/>
        <v>0</v>
      </c>
      <c r="X303" s="1">
        <f t="shared" si="125"/>
        <v>0</v>
      </c>
      <c r="Y303" s="1">
        <f t="shared" si="125"/>
        <v>0</v>
      </c>
      <c r="Z303" s="1">
        <f t="shared" si="125"/>
        <v>499827.04</v>
      </c>
      <c r="AA303" s="1">
        <f t="shared" si="125"/>
        <v>0</v>
      </c>
    </row>
    <row r="304" spans="1:27" s="75" customFormat="1" ht="34.5" customHeight="1">
      <c r="A304" s="76">
        <v>14</v>
      </c>
      <c r="B304" s="121" t="s">
        <v>547</v>
      </c>
      <c r="C304" s="1">
        <f>D304+L304+N304+P304+R304+T304+V304+X304+Y304+Z304+AA304</f>
        <v>6881368.7700000005</v>
      </c>
      <c r="D304" s="1">
        <f>E304+F304+G304+H304+I304+J304</f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727</v>
      </c>
      <c r="P304" s="8">
        <v>6381541.7300000004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8">
        <v>499827.04</v>
      </c>
      <c r="AA304" s="1">
        <v>0</v>
      </c>
    </row>
    <row r="305" spans="1:27" s="75" customFormat="1" ht="39.75" customHeight="1">
      <c r="A305" s="158" t="s">
        <v>130</v>
      </c>
      <c r="B305" s="160"/>
      <c r="C305" s="1">
        <f>SUM(C306:C308)</f>
        <v>33477501.5</v>
      </c>
      <c r="D305" s="1">
        <f t="shared" ref="D305:AA305" si="126">SUM(D306:D308)</f>
        <v>0</v>
      </c>
      <c r="E305" s="1">
        <f t="shared" si="126"/>
        <v>0</v>
      </c>
      <c r="F305" s="1">
        <f t="shared" si="126"/>
        <v>0</v>
      </c>
      <c r="G305" s="1">
        <f t="shared" si="126"/>
        <v>0</v>
      </c>
      <c r="H305" s="1">
        <f t="shared" si="126"/>
        <v>0</v>
      </c>
      <c r="I305" s="1">
        <f t="shared" si="126"/>
        <v>0</v>
      </c>
      <c r="J305" s="1">
        <f t="shared" si="126"/>
        <v>0</v>
      </c>
      <c r="K305" s="1">
        <f t="shared" si="126"/>
        <v>0</v>
      </c>
      <c r="L305" s="1">
        <f t="shared" si="126"/>
        <v>0</v>
      </c>
      <c r="M305" s="1">
        <f t="shared" si="126"/>
        <v>0</v>
      </c>
      <c r="N305" s="1">
        <f t="shared" si="126"/>
        <v>0</v>
      </c>
      <c r="O305" s="1">
        <f t="shared" si="126"/>
        <v>2316</v>
      </c>
      <c r="P305" s="1">
        <f t="shared" si="126"/>
        <v>31045868.920000002</v>
      </c>
      <c r="Q305" s="1">
        <f t="shared" si="126"/>
        <v>0</v>
      </c>
      <c r="R305" s="1">
        <f t="shared" si="126"/>
        <v>0</v>
      </c>
      <c r="S305" s="1">
        <f t="shared" si="126"/>
        <v>0</v>
      </c>
      <c r="T305" s="1">
        <f t="shared" si="126"/>
        <v>0</v>
      </c>
      <c r="U305" s="1">
        <f t="shared" si="126"/>
        <v>0</v>
      </c>
      <c r="V305" s="1">
        <f t="shared" si="126"/>
        <v>0</v>
      </c>
      <c r="W305" s="1">
        <f t="shared" si="126"/>
        <v>0</v>
      </c>
      <c r="X305" s="1">
        <f t="shared" si="126"/>
        <v>0</v>
      </c>
      <c r="Y305" s="1">
        <f t="shared" si="126"/>
        <v>0</v>
      </c>
      <c r="Z305" s="1">
        <f t="shared" si="126"/>
        <v>2431632.58</v>
      </c>
      <c r="AA305" s="1">
        <f t="shared" si="126"/>
        <v>0</v>
      </c>
    </row>
    <row r="306" spans="1:27" s="75" customFormat="1" ht="30" customHeight="1">
      <c r="A306" s="120">
        <v>15</v>
      </c>
      <c r="B306" s="67" t="s">
        <v>735</v>
      </c>
      <c r="C306" s="37">
        <f>P306+Z306</f>
        <v>16583305.1</v>
      </c>
      <c r="D306" s="37">
        <f>E306+F306+G306+H306+I306+J306</f>
        <v>0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37">
        <v>1159</v>
      </c>
      <c r="P306" s="37">
        <v>15378779.58</v>
      </c>
      <c r="Q306" s="2">
        <v>0</v>
      </c>
      <c r="R306" s="2">
        <v>0</v>
      </c>
      <c r="S306" s="2">
        <v>0</v>
      </c>
      <c r="T306" s="2">
        <v>0</v>
      </c>
      <c r="U306" s="2">
        <v>0</v>
      </c>
      <c r="V306" s="2">
        <v>0</v>
      </c>
      <c r="W306" s="2">
        <v>0</v>
      </c>
      <c r="X306" s="2">
        <v>0</v>
      </c>
      <c r="Y306" s="2">
        <v>0</v>
      </c>
      <c r="Z306" s="37">
        <v>1204525.52</v>
      </c>
      <c r="AA306" s="2">
        <v>0</v>
      </c>
    </row>
    <row r="307" spans="1:27" s="75" customFormat="1" ht="30" customHeight="1">
      <c r="A307" s="120">
        <v>16</v>
      </c>
      <c r="B307" s="67" t="s">
        <v>737</v>
      </c>
      <c r="C307" s="37">
        <f>P307+Z307</f>
        <v>5273005.37</v>
      </c>
      <c r="D307" s="37">
        <f>E307+F307+G307+H307+I307+J307</f>
        <v>0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37">
        <v>344.8</v>
      </c>
      <c r="P307" s="37">
        <v>4890001.53</v>
      </c>
      <c r="Q307" s="2">
        <v>0</v>
      </c>
      <c r="R307" s="2">
        <v>0</v>
      </c>
      <c r="S307" s="2">
        <v>0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37">
        <v>383003.84</v>
      </c>
      <c r="AA307" s="2">
        <v>0</v>
      </c>
    </row>
    <row r="308" spans="1:27" s="75" customFormat="1" ht="29.25" customHeight="1">
      <c r="A308" s="120">
        <v>17</v>
      </c>
      <c r="B308" s="67" t="s">
        <v>738</v>
      </c>
      <c r="C308" s="37">
        <f>D308+P308+Z308</f>
        <v>11621191.030000001</v>
      </c>
      <c r="D308" s="37">
        <v>0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37">
        <v>812.2</v>
      </c>
      <c r="P308" s="37">
        <v>10777087.810000001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  <c r="V308" s="2">
        <v>0</v>
      </c>
      <c r="W308" s="2">
        <v>0</v>
      </c>
      <c r="X308" s="2">
        <v>0</v>
      </c>
      <c r="Y308" s="2">
        <v>0</v>
      </c>
      <c r="Z308" s="37">
        <v>844103.22</v>
      </c>
      <c r="AA308" s="2">
        <v>0</v>
      </c>
    </row>
    <row r="309" spans="1:27" s="75" customFormat="1" ht="37.5" customHeight="1">
      <c r="A309" s="186" t="s">
        <v>73</v>
      </c>
      <c r="B309" s="187"/>
      <c r="C309" s="80">
        <f>SUM(C310:C314)</f>
        <v>37157716.109999999</v>
      </c>
      <c r="D309" s="1">
        <f t="shared" ref="D309:AA309" si="127">SUM(D310:D314)</f>
        <v>0</v>
      </c>
      <c r="E309" s="1">
        <f t="shared" si="127"/>
        <v>0</v>
      </c>
      <c r="F309" s="1">
        <f t="shared" si="127"/>
        <v>0</v>
      </c>
      <c r="G309" s="1">
        <f t="shared" si="127"/>
        <v>0</v>
      </c>
      <c r="H309" s="1">
        <f t="shared" si="127"/>
        <v>0</v>
      </c>
      <c r="I309" s="1">
        <f t="shared" si="127"/>
        <v>0</v>
      </c>
      <c r="J309" s="1">
        <f t="shared" si="127"/>
        <v>0</v>
      </c>
      <c r="K309" s="1">
        <f t="shared" si="127"/>
        <v>0</v>
      </c>
      <c r="L309" s="1">
        <f t="shared" si="127"/>
        <v>0</v>
      </c>
      <c r="M309" s="1">
        <f t="shared" si="127"/>
        <v>2</v>
      </c>
      <c r="N309" s="80">
        <f t="shared" si="127"/>
        <v>11849782.310000001</v>
      </c>
      <c r="O309" s="1">
        <f t="shared" si="127"/>
        <v>1910</v>
      </c>
      <c r="P309" s="80">
        <f t="shared" si="127"/>
        <v>16765811.16</v>
      </c>
      <c r="Q309" s="1">
        <f t="shared" si="127"/>
        <v>0</v>
      </c>
      <c r="R309" s="1">
        <f t="shared" si="127"/>
        <v>0</v>
      </c>
      <c r="S309" s="1">
        <f t="shared" si="127"/>
        <v>0</v>
      </c>
      <c r="T309" s="1">
        <f t="shared" si="127"/>
        <v>0</v>
      </c>
      <c r="U309" s="1">
        <f t="shared" si="127"/>
        <v>0</v>
      </c>
      <c r="V309" s="1">
        <f t="shared" si="127"/>
        <v>0</v>
      </c>
      <c r="W309" s="80">
        <f t="shared" si="127"/>
        <v>126</v>
      </c>
      <c r="X309" s="80">
        <f t="shared" si="127"/>
        <v>6300838.6400000006</v>
      </c>
      <c r="Y309" s="1">
        <f t="shared" si="127"/>
        <v>0</v>
      </c>
      <c r="Z309" s="80">
        <f t="shared" si="127"/>
        <v>2241284</v>
      </c>
      <c r="AA309" s="1">
        <f t="shared" si="127"/>
        <v>0</v>
      </c>
    </row>
    <row r="310" spans="1:27" s="75" customFormat="1" ht="33" customHeight="1">
      <c r="A310" s="95">
        <v>18</v>
      </c>
      <c r="B310" s="121" t="s">
        <v>208</v>
      </c>
      <c r="C310" s="1">
        <f>D310+L310+N310+P310+R310+T310+V310+X310+Y310+Z310+AA310</f>
        <v>6625802.1200000001</v>
      </c>
      <c r="D310" s="1">
        <f>E310+F310+G310+H310+I310+J310</f>
        <v>0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8">
        <v>700</v>
      </c>
      <c r="P310" s="1">
        <v>6144538.1200000001</v>
      </c>
      <c r="Q310" s="2">
        <v>0</v>
      </c>
      <c r="R310" s="2">
        <v>0</v>
      </c>
      <c r="S310" s="2">
        <v>0</v>
      </c>
      <c r="T310" s="2">
        <v>0</v>
      </c>
      <c r="U310" s="2">
        <v>0</v>
      </c>
      <c r="V310" s="2">
        <v>0</v>
      </c>
      <c r="W310" s="2">
        <v>0</v>
      </c>
      <c r="X310" s="2">
        <v>0</v>
      </c>
      <c r="Y310" s="2">
        <v>0</v>
      </c>
      <c r="Z310" s="8">
        <v>481264</v>
      </c>
      <c r="AA310" s="2">
        <v>0</v>
      </c>
    </row>
    <row r="311" spans="1:27" s="75" customFormat="1" ht="36.75" customHeight="1">
      <c r="A311" s="95">
        <v>19</v>
      </c>
      <c r="B311" s="121" t="s">
        <v>209</v>
      </c>
      <c r="C311" s="1">
        <f t="shared" ref="C311:C314" si="128">D311+L311+N311+P311+R311+T311+V311+X311+Y311+Z311+AA311</f>
        <v>2768891.04</v>
      </c>
      <c r="D311" s="1">
        <f t="shared" ref="D311:D314" si="129">E311+F311+G311+H311+I311+J311</f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8">
        <v>79</v>
      </c>
      <c r="X311" s="8">
        <v>2768891.04</v>
      </c>
      <c r="Y311" s="2">
        <v>0</v>
      </c>
      <c r="Z311" s="8">
        <v>0</v>
      </c>
      <c r="AA311" s="2">
        <v>0</v>
      </c>
    </row>
    <row r="312" spans="1:27" s="75" customFormat="1" ht="35.25" customHeight="1">
      <c r="A312" s="95">
        <v>20</v>
      </c>
      <c r="B312" s="121" t="s">
        <v>210</v>
      </c>
      <c r="C312" s="1">
        <f t="shared" si="128"/>
        <v>3531947.6</v>
      </c>
      <c r="D312" s="1">
        <f t="shared" si="129"/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2">
        <v>0</v>
      </c>
      <c r="W312" s="8">
        <v>47</v>
      </c>
      <c r="X312" s="8">
        <v>3531947.6</v>
      </c>
      <c r="Y312" s="2">
        <v>0</v>
      </c>
      <c r="Z312" s="8">
        <v>0</v>
      </c>
      <c r="AA312" s="2">
        <v>0</v>
      </c>
    </row>
    <row r="313" spans="1:27" s="75" customFormat="1" ht="30" customHeight="1">
      <c r="A313" s="95">
        <v>21</v>
      </c>
      <c r="B313" s="121" t="s">
        <v>211</v>
      </c>
      <c r="C313" s="1">
        <v>12777903.109999999</v>
      </c>
      <c r="D313" s="1"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1">
        <v>2</v>
      </c>
      <c r="N313" s="8">
        <v>11849782.310000001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  <c r="V313" s="2">
        <v>0</v>
      </c>
      <c r="W313" s="2">
        <v>0</v>
      </c>
      <c r="X313" s="2">
        <v>0</v>
      </c>
      <c r="Y313" s="2">
        <v>0</v>
      </c>
      <c r="Z313" s="8">
        <v>928120.8</v>
      </c>
      <c r="AA313" s="2">
        <v>0</v>
      </c>
    </row>
    <row r="314" spans="1:27" s="75" customFormat="1" ht="32.25" customHeight="1">
      <c r="A314" s="95">
        <v>22</v>
      </c>
      <c r="B314" s="121" t="s">
        <v>212</v>
      </c>
      <c r="C314" s="1">
        <f t="shared" si="128"/>
        <v>11453172.239999998</v>
      </c>
      <c r="D314" s="1">
        <f t="shared" si="129"/>
        <v>0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8">
        <v>1210</v>
      </c>
      <c r="P314" s="1">
        <v>10621273.039999999</v>
      </c>
      <c r="Q314" s="2">
        <v>0</v>
      </c>
      <c r="R314" s="2">
        <v>0</v>
      </c>
      <c r="S314" s="2">
        <v>0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8">
        <v>831899.2</v>
      </c>
      <c r="AA314" s="2">
        <v>0</v>
      </c>
    </row>
    <row r="315" spans="1:27" s="75" customFormat="1" ht="31.5" customHeight="1">
      <c r="A315" s="186" t="s">
        <v>284</v>
      </c>
      <c r="B315" s="187"/>
      <c r="C315" s="1">
        <f>SUM(C316:C320)</f>
        <v>47809871.170000002</v>
      </c>
      <c r="D315" s="1">
        <f t="shared" ref="D315:AA315" si="130">SUM(D316:D320)</f>
        <v>0</v>
      </c>
      <c r="E315" s="1">
        <f t="shared" si="130"/>
        <v>0</v>
      </c>
      <c r="F315" s="1">
        <f t="shared" si="130"/>
        <v>0</v>
      </c>
      <c r="G315" s="1">
        <f t="shared" si="130"/>
        <v>0</v>
      </c>
      <c r="H315" s="1">
        <f t="shared" si="130"/>
        <v>0</v>
      </c>
      <c r="I315" s="1">
        <f t="shared" si="130"/>
        <v>0</v>
      </c>
      <c r="J315" s="1">
        <f t="shared" si="130"/>
        <v>0</v>
      </c>
      <c r="K315" s="1">
        <f t="shared" si="130"/>
        <v>0</v>
      </c>
      <c r="L315" s="1">
        <f t="shared" si="130"/>
        <v>0</v>
      </c>
      <c r="M315" s="1">
        <f t="shared" si="130"/>
        <v>2</v>
      </c>
      <c r="N315" s="1">
        <f t="shared" si="130"/>
        <v>11849782.310000001</v>
      </c>
      <c r="O315" s="1">
        <f t="shared" si="130"/>
        <v>2464.11</v>
      </c>
      <c r="P315" s="1">
        <f t="shared" si="130"/>
        <v>32487427.07</v>
      </c>
      <c r="Q315" s="1">
        <f t="shared" si="130"/>
        <v>0</v>
      </c>
      <c r="R315" s="1">
        <f t="shared" si="130"/>
        <v>0</v>
      </c>
      <c r="S315" s="1">
        <f t="shared" si="130"/>
        <v>0</v>
      </c>
      <c r="T315" s="1">
        <f t="shared" si="130"/>
        <v>0</v>
      </c>
      <c r="U315" s="1">
        <f t="shared" si="130"/>
        <v>0</v>
      </c>
      <c r="V315" s="1">
        <f t="shared" si="130"/>
        <v>0</v>
      </c>
      <c r="W315" s="1">
        <f t="shared" si="130"/>
        <v>0</v>
      </c>
      <c r="X315" s="1">
        <f t="shared" si="130"/>
        <v>0</v>
      </c>
      <c r="Y315" s="1">
        <f t="shared" si="130"/>
        <v>0</v>
      </c>
      <c r="Z315" s="1">
        <f t="shared" si="130"/>
        <v>3472661.79</v>
      </c>
      <c r="AA315" s="1">
        <f t="shared" si="130"/>
        <v>0</v>
      </c>
    </row>
    <row r="316" spans="1:27" s="75" customFormat="1" ht="30" customHeight="1">
      <c r="A316" s="95">
        <v>23</v>
      </c>
      <c r="B316" s="121" t="s">
        <v>300</v>
      </c>
      <c r="C316" s="1">
        <v>7677055.3799999999</v>
      </c>
      <c r="D316" s="1">
        <v>0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8">
        <v>502</v>
      </c>
      <c r="P316" s="1">
        <v>7119433.7800000003</v>
      </c>
      <c r="Q316" s="2">
        <v>0</v>
      </c>
      <c r="R316" s="2">
        <v>0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8">
        <v>557621.6</v>
      </c>
      <c r="AA316" s="2">
        <v>0</v>
      </c>
    </row>
    <row r="317" spans="1:27" s="75" customFormat="1" ht="32.25" customHeight="1">
      <c r="A317" s="95">
        <v>24</v>
      </c>
      <c r="B317" s="121" t="s">
        <v>548</v>
      </c>
      <c r="C317" s="1">
        <v>4306771.38</v>
      </c>
      <c r="D317" s="1">
        <v>0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8">
        <v>455</v>
      </c>
      <c r="P317" s="1">
        <v>3993949.78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8">
        <v>312821.59999999998</v>
      </c>
      <c r="AA317" s="2">
        <v>0</v>
      </c>
    </row>
    <row r="318" spans="1:27" s="75" customFormat="1" ht="33" customHeight="1">
      <c r="A318" s="95">
        <v>25</v>
      </c>
      <c r="B318" s="121" t="s">
        <v>502</v>
      </c>
      <c r="C318" s="1">
        <v>10169804.439999999</v>
      </c>
      <c r="D318" s="1">
        <v>0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8">
        <v>665</v>
      </c>
      <c r="P318" s="1">
        <v>9431122.4399999995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2">
        <v>0</v>
      </c>
      <c r="Z318" s="8">
        <v>738682</v>
      </c>
      <c r="AA318" s="2">
        <v>0</v>
      </c>
    </row>
    <row r="319" spans="1:27" s="75" customFormat="1" ht="47.25" customHeight="1">
      <c r="A319" s="95">
        <v>26</v>
      </c>
      <c r="B319" s="121" t="s">
        <v>302</v>
      </c>
      <c r="C319" s="1">
        <v>12878336.859999999</v>
      </c>
      <c r="D319" s="1">
        <v>0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8">
        <v>842.11</v>
      </c>
      <c r="P319" s="1">
        <v>11942921.07</v>
      </c>
      <c r="Q319" s="2">
        <v>0</v>
      </c>
      <c r="R319" s="2">
        <v>0</v>
      </c>
      <c r="S319" s="2">
        <v>0</v>
      </c>
      <c r="T319" s="2">
        <v>0</v>
      </c>
      <c r="U319" s="2">
        <v>0</v>
      </c>
      <c r="V319" s="2">
        <v>0</v>
      </c>
      <c r="W319" s="2">
        <v>0</v>
      </c>
      <c r="X319" s="2">
        <v>0</v>
      </c>
      <c r="Y319" s="2">
        <v>0</v>
      </c>
      <c r="Z319" s="8">
        <v>935415.79</v>
      </c>
      <c r="AA319" s="2">
        <v>0</v>
      </c>
    </row>
    <row r="320" spans="1:27" s="75" customFormat="1" ht="41.25" customHeight="1">
      <c r="A320" s="95">
        <v>27</v>
      </c>
      <c r="B320" s="121" t="s">
        <v>299</v>
      </c>
      <c r="C320" s="1">
        <v>12777903.110000001</v>
      </c>
      <c r="D320" s="1">
        <v>0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2</v>
      </c>
      <c r="N320" s="4">
        <v>11849782.310000001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  <c r="V320" s="2">
        <v>0</v>
      </c>
      <c r="W320" s="2">
        <v>0</v>
      </c>
      <c r="X320" s="2">
        <v>0</v>
      </c>
      <c r="Y320" s="2">
        <v>0</v>
      </c>
      <c r="Z320" s="8">
        <v>928120.8</v>
      </c>
      <c r="AA320" s="2">
        <v>0</v>
      </c>
    </row>
    <row r="321" spans="1:27" s="75" customFormat="1" ht="37.5" customHeight="1">
      <c r="A321" s="186" t="s">
        <v>67</v>
      </c>
      <c r="B321" s="187"/>
      <c r="C321" s="8">
        <f>C322</f>
        <v>7944681.8099999996</v>
      </c>
      <c r="D321" s="8">
        <f t="shared" ref="D321:AA321" si="131">D322</f>
        <v>0</v>
      </c>
      <c r="E321" s="8">
        <f t="shared" si="131"/>
        <v>0</v>
      </c>
      <c r="F321" s="8">
        <f t="shared" si="131"/>
        <v>0</v>
      </c>
      <c r="G321" s="8">
        <f t="shared" si="131"/>
        <v>0</v>
      </c>
      <c r="H321" s="8">
        <f t="shared" si="131"/>
        <v>0</v>
      </c>
      <c r="I321" s="8">
        <f t="shared" si="131"/>
        <v>0</v>
      </c>
      <c r="J321" s="8">
        <f t="shared" si="131"/>
        <v>0</v>
      </c>
      <c r="K321" s="8">
        <f t="shared" si="131"/>
        <v>0</v>
      </c>
      <c r="L321" s="8">
        <f t="shared" si="131"/>
        <v>0</v>
      </c>
      <c r="M321" s="8">
        <f t="shared" si="131"/>
        <v>0</v>
      </c>
      <c r="N321" s="8">
        <f t="shared" si="131"/>
        <v>0</v>
      </c>
      <c r="O321" s="8">
        <f t="shared" si="131"/>
        <v>519.5</v>
      </c>
      <c r="P321" s="8">
        <f t="shared" si="131"/>
        <v>7367621.21</v>
      </c>
      <c r="Q321" s="8">
        <f t="shared" si="131"/>
        <v>0</v>
      </c>
      <c r="R321" s="8">
        <f t="shared" si="131"/>
        <v>0</v>
      </c>
      <c r="S321" s="8">
        <f t="shared" si="131"/>
        <v>0</v>
      </c>
      <c r="T321" s="8">
        <f t="shared" si="131"/>
        <v>0</v>
      </c>
      <c r="U321" s="8">
        <f t="shared" si="131"/>
        <v>0</v>
      </c>
      <c r="V321" s="8">
        <f t="shared" si="131"/>
        <v>0</v>
      </c>
      <c r="W321" s="8">
        <f t="shared" si="131"/>
        <v>0</v>
      </c>
      <c r="X321" s="8">
        <f t="shared" si="131"/>
        <v>0</v>
      </c>
      <c r="Y321" s="8">
        <f t="shared" si="131"/>
        <v>0</v>
      </c>
      <c r="Z321" s="8">
        <f t="shared" si="131"/>
        <v>577060.6</v>
      </c>
      <c r="AA321" s="8">
        <f t="shared" si="131"/>
        <v>0</v>
      </c>
    </row>
    <row r="322" spans="1:27" s="75" customFormat="1" ht="30" customHeight="1">
      <c r="A322" s="95">
        <v>28</v>
      </c>
      <c r="B322" s="124" t="s">
        <v>855</v>
      </c>
      <c r="C322" s="1">
        <f>D322+L322+N322+P322+R322+T322+V322+X322+Y322+Z322+AA322</f>
        <v>7944681.8099999996</v>
      </c>
      <c r="D322" s="2">
        <f>E322+F322+G322+H322+I322+J322</f>
        <v>0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3">
        <v>0</v>
      </c>
      <c r="O322" s="3">
        <v>519.5</v>
      </c>
      <c r="P322" s="8">
        <v>7367621.21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  <c r="Z322" s="1">
        <v>577060.6</v>
      </c>
      <c r="AA322" s="2">
        <v>0</v>
      </c>
    </row>
    <row r="323" spans="1:27" s="75" customFormat="1" ht="34.5" customHeight="1">
      <c r="A323" s="186" t="s">
        <v>116</v>
      </c>
      <c r="B323" s="187"/>
      <c r="C323" s="1">
        <f>C324</f>
        <v>7126509.5699999994</v>
      </c>
      <c r="D323" s="1">
        <f t="shared" ref="D323:AA323" si="132">D324</f>
        <v>0</v>
      </c>
      <c r="E323" s="1">
        <f t="shared" si="132"/>
        <v>0</v>
      </c>
      <c r="F323" s="1">
        <f t="shared" si="132"/>
        <v>0</v>
      </c>
      <c r="G323" s="1">
        <f t="shared" si="132"/>
        <v>0</v>
      </c>
      <c r="H323" s="1">
        <f t="shared" si="132"/>
        <v>0</v>
      </c>
      <c r="I323" s="1">
        <f t="shared" si="132"/>
        <v>0</v>
      </c>
      <c r="J323" s="1">
        <f t="shared" si="132"/>
        <v>0</v>
      </c>
      <c r="K323" s="1">
        <f t="shared" si="132"/>
        <v>0</v>
      </c>
      <c r="L323" s="1">
        <f t="shared" si="132"/>
        <v>0</v>
      </c>
      <c r="M323" s="1">
        <f t="shared" si="132"/>
        <v>0</v>
      </c>
      <c r="N323" s="1">
        <f t="shared" si="132"/>
        <v>0</v>
      </c>
      <c r="O323" s="1">
        <f t="shared" si="132"/>
        <v>466</v>
      </c>
      <c r="P323" s="1">
        <f t="shared" si="132"/>
        <v>6608876.7699999996</v>
      </c>
      <c r="Q323" s="1">
        <f t="shared" si="132"/>
        <v>0</v>
      </c>
      <c r="R323" s="1">
        <f t="shared" si="132"/>
        <v>0</v>
      </c>
      <c r="S323" s="1">
        <f t="shared" si="132"/>
        <v>0</v>
      </c>
      <c r="T323" s="1">
        <f t="shared" si="132"/>
        <v>0</v>
      </c>
      <c r="U323" s="1">
        <f t="shared" si="132"/>
        <v>0</v>
      </c>
      <c r="V323" s="1">
        <f t="shared" si="132"/>
        <v>0</v>
      </c>
      <c r="W323" s="1">
        <f t="shared" si="132"/>
        <v>0</v>
      </c>
      <c r="X323" s="1">
        <f t="shared" si="132"/>
        <v>0</v>
      </c>
      <c r="Y323" s="1">
        <f t="shared" si="132"/>
        <v>0</v>
      </c>
      <c r="Z323" s="1">
        <f t="shared" si="132"/>
        <v>517632.8</v>
      </c>
      <c r="AA323" s="1">
        <f t="shared" si="132"/>
        <v>0</v>
      </c>
    </row>
    <row r="324" spans="1:27" s="75" customFormat="1" ht="33" customHeight="1">
      <c r="A324" s="95">
        <v>29</v>
      </c>
      <c r="B324" s="124" t="s">
        <v>120</v>
      </c>
      <c r="C324" s="1">
        <f>D324+L324+N324+P324+R324+T324+V324+X324+Y324+Z324+AA324</f>
        <v>7126509.5699999994</v>
      </c>
      <c r="D324" s="2">
        <f>SUM(E324:J324)</f>
        <v>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3">
        <v>0</v>
      </c>
      <c r="O324" s="3">
        <v>466</v>
      </c>
      <c r="P324" s="8">
        <v>6608876.7699999996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  <c r="Z324" s="1">
        <v>517632.8</v>
      </c>
      <c r="AA324" s="2">
        <v>0</v>
      </c>
    </row>
    <row r="325" spans="1:27" s="75" customFormat="1" ht="42.75" customHeight="1">
      <c r="A325" s="186" t="s">
        <v>271</v>
      </c>
      <c r="B325" s="187"/>
      <c r="C325" s="1">
        <f>SUM(C326)</f>
        <v>6575963.7699999996</v>
      </c>
      <c r="D325" s="1">
        <f t="shared" ref="D325:AA325" si="133">SUM(D326)</f>
        <v>0</v>
      </c>
      <c r="E325" s="1">
        <f t="shared" si="133"/>
        <v>0</v>
      </c>
      <c r="F325" s="1">
        <f t="shared" si="133"/>
        <v>0</v>
      </c>
      <c r="G325" s="1">
        <f t="shared" si="133"/>
        <v>0</v>
      </c>
      <c r="H325" s="1">
        <f t="shared" si="133"/>
        <v>0</v>
      </c>
      <c r="I325" s="1">
        <f t="shared" si="133"/>
        <v>0</v>
      </c>
      <c r="J325" s="1">
        <f t="shared" si="133"/>
        <v>0</v>
      </c>
      <c r="K325" s="1">
        <f t="shared" si="133"/>
        <v>0</v>
      </c>
      <c r="L325" s="1">
        <f t="shared" si="133"/>
        <v>0</v>
      </c>
      <c r="M325" s="1">
        <f t="shared" si="133"/>
        <v>0</v>
      </c>
      <c r="N325" s="1">
        <f t="shared" si="133"/>
        <v>0</v>
      </c>
      <c r="O325" s="1">
        <f t="shared" si="133"/>
        <v>430</v>
      </c>
      <c r="P325" s="1">
        <f t="shared" si="133"/>
        <v>6098319.7699999996</v>
      </c>
      <c r="Q325" s="1">
        <f t="shared" si="133"/>
        <v>0</v>
      </c>
      <c r="R325" s="1">
        <f t="shared" si="133"/>
        <v>0</v>
      </c>
      <c r="S325" s="1">
        <f t="shared" si="133"/>
        <v>0</v>
      </c>
      <c r="T325" s="1">
        <f t="shared" si="133"/>
        <v>0</v>
      </c>
      <c r="U325" s="1">
        <f t="shared" si="133"/>
        <v>0</v>
      </c>
      <c r="V325" s="1">
        <f t="shared" si="133"/>
        <v>0</v>
      </c>
      <c r="W325" s="1">
        <f t="shared" si="133"/>
        <v>0</v>
      </c>
      <c r="X325" s="1">
        <f t="shared" si="133"/>
        <v>0</v>
      </c>
      <c r="Y325" s="1">
        <f t="shared" si="133"/>
        <v>0</v>
      </c>
      <c r="Z325" s="1">
        <f t="shared" si="133"/>
        <v>477644</v>
      </c>
      <c r="AA325" s="1">
        <f t="shared" si="133"/>
        <v>0</v>
      </c>
    </row>
    <row r="326" spans="1:27" s="75" customFormat="1" ht="33" customHeight="1">
      <c r="A326" s="95">
        <v>30</v>
      </c>
      <c r="B326" s="124" t="s">
        <v>277</v>
      </c>
      <c r="C326" s="1">
        <f>D326+L326+N326+P326+R326+T326+V326+X326+Y326+Z326+AA326</f>
        <v>6575963.7699999996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3">
        <v>430</v>
      </c>
      <c r="P326" s="8">
        <v>6098319.7699999996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1">
        <v>477644</v>
      </c>
      <c r="AA326" s="2">
        <v>0</v>
      </c>
    </row>
    <row r="327" spans="1:27" s="75" customFormat="1" ht="35.25" customHeight="1">
      <c r="A327" s="158" t="s">
        <v>76</v>
      </c>
      <c r="B327" s="160"/>
      <c r="C327" s="1">
        <f>SUM(C328:C329)</f>
        <v>22615876.66</v>
      </c>
      <c r="D327" s="1">
        <f t="shared" ref="D327:AA327" si="134">SUM(D328:D329)</f>
        <v>0</v>
      </c>
      <c r="E327" s="1">
        <f t="shared" si="134"/>
        <v>0</v>
      </c>
      <c r="F327" s="1">
        <f t="shared" si="134"/>
        <v>0</v>
      </c>
      <c r="G327" s="1">
        <f t="shared" si="134"/>
        <v>0</v>
      </c>
      <c r="H327" s="1">
        <f t="shared" si="134"/>
        <v>0</v>
      </c>
      <c r="I327" s="1">
        <f t="shared" si="134"/>
        <v>0</v>
      </c>
      <c r="J327" s="1">
        <f t="shared" si="134"/>
        <v>0</v>
      </c>
      <c r="K327" s="1">
        <f t="shared" si="134"/>
        <v>0</v>
      </c>
      <c r="L327" s="1">
        <f t="shared" si="134"/>
        <v>0</v>
      </c>
      <c r="M327" s="1">
        <f t="shared" si="134"/>
        <v>0</v>
      </c>
      <c r="N327" s="1">
        <f t="shared" si="134"/>
        <v>0</v>
      </c>
      <c r="O327" s="1">
        <f t="shared" si="134"/>
        <v>1866</v>
      </c>
      <c r="P327" s="1">
        <f t="shared" si="134"/>
        <v>20973176.34</v>
      </c>
      <c r="Q327" s="1">
        <f t="shared" si="134"/>
        <v>0</v>
      </c>
      <c r="R327" s="1">
        <f t="shared" si="134"/>
        <v>0</v>
      </c>
      <c r="S327" s="1">
        <f t="shared" si="134"/>
        <v>0</v>
      </c>
      <c r="T327" s="1">
        <f t="shared" si="134"/>
        <v>0</v>
      </c>
      <c r="U327" s="1">
        <f t="shared" si="134"/>
        <v>0</v>
      </c>
      <c r="V327" s="1">
        <f t="shared" si="134"/>
        <v>0</v>
      </c>
      <c r="W327" s="1">
        <f t="shared" si="134"/>
        <v>0</v>
      </c>
      <c r="X327" s="1">
        <f t="shared" si="134"/>
        <v>0</v>
      </c>
      <c r="Y327" s="1">
        <f t="shared" si="134"/>
        <v>0</v>
      </c>
      <c r="Z327" s="1">
        <f t="shared" si="134"/>
        <v>1642700.3199999998</v>
      </c>
      <c r="AA327" s="1">
        <f t="shared" si="134"/>
        <v>0</v>
      </c>
    </row>
    <row r="328" spans="1:27" s="75" customFormat="1" ht="34.5" customHeight="1">
      <c r="A328" s="76">
        <v>31</v>
      </c>
      <c r="B328" s="121" t="s">
        <v>92</v>
      </c>
      <c r="C328" s="1">
        <f>D328+L328+N328+P328+R328+T328+V328+X328+Y328+Z328+AA328</f>
        <v>9616878.5099999998</v>
      </c>
      <c r="D328" s="2">
        <f t="shared" ref="D328:D331" si="135">E328+F328+G328+H328+I328+J328</f>
        <v>0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3">
        <v>1016</v>
      </c>
      <c r="P328" s="8">
        <v>8918358.1899999995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1">
        <v>698520.32</v>
      </c>
      <c r="AA328" s="2">
        <v>0</v>
      </c>
    </row>
    <row r="329" spans="1:27" s="75" customFormat="1" ht="29.25" customHeight="1">
      <c r="A329" s="76">
        <v>32</v>
      </c>
      <c r="B329" s="121" t="s">
        <v>504</v>
      </c>
      <c r="C329" s="1">
        <f>D329+L329+N329+P329+R329+T329+V329+X329+Y329+Z329+AA329</f>
        <v>12998998.15</v>
      </c>
      <c r="D329" s="2">
        <f t="shared" si="135"/>
        <v>0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3">
        <v>850</v>
      </c>
      <c r="P329" s="8">
        <v>12054818.15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1">
        <v>944180</v>
      </c>
      <c r="AA329" s="2">
        <v>0</v>
      </c>
    </row>
    <row r="330" spans="1:27" s="75" customFormat="1" ht="39" customHeight="1">
      <c r="A330" s="158" t="s">
        <v>270</v>
      </c>
      <c r="B330" s="160"/>
      <c r="C330" s="1">
        <f>SUM(C331)</f>
        <v>25906886.289999999</v>
      </c>
      <c r="D330" s="1">
        <f t="shared" ref="D330:AA330" si="136">SUM(D331)</f>
        <v>0</v>
      </c>
      <c r="E330" s="1">
        <f t="shared" si="136"/>
        <v>0</v>
      </c>
      <c r="F330" s="1">
        <f t="shared" si="136"/>
        <v>0</v>
      </c>
      <c r="G330" s="1">
        <f t="shared" si="136"/>
        <v>0</v>
      </c>
      <c r="H330" s="1">
        <f t="shared" si="136"/>
        <v>0</v>
      </c>
      <c r="I330" s="1">
        <f t="shared" si="136"/>
        <v>0</v>
      </c>
      <c r="J330" s="1">
        <f t="shared" si="136"/>
        <v>0</v>
      </c>
      <c r="K330" s="1">
        <f t="shared" si="136"/>
        <v>0</v>
      </c>
      <c r="L330" s="1">
        <f t="shared" si="136"/>
        <v>0</v>
      </c>
      <c r="M330" s="1">
        <f t="shared" si="136"/>
        <v>0</v>
      </c>
      <c r="N330" s="1">
        <f t="shared" si="136"/>
        <v>0</v>
      </c>
      <c r="O330" s="1">
        <f t="shared" si="136"/>
        <v>2737</v>
      </c>
      <c r="P330" s="1">
        <f t="shared" si="136"/>
        <v>24025144.050000001</v>
      </c>
      <c r="Q330" s="1">
        <f t="shared" si="136"/>
        <v>0</v>
      </c>
      <c r="R330" s="1">
        <f t="shared" si="136"/>
        <v>0</v>
      </c>
      <c r="S330" s="1">
        <f t="shared" si="136"/>
        <v>0</v>
      </c>
      <c r="T330" s="1">
        <f t="shared" si="136"/>
        <v>0</v>
      </c>
      <c r="U330" s="1">
        <f t="shared" si="136"/>
        <v>0</v>
      </c>
      <c r="V330" s="1">
        <f t="shared" si="136"/>
        <v>0</v>
      </c>
      <c r="W330" s="1">
        <f t="shared" si="136"/>
        <v>0</v>
      </c>
      <c r="X330" s="1">
        <f t="shared" si="136"/>
        <v>0</v>
      </c>
      <c r="Y330" s="1">
        <f t="shared" si="136"/>
        <v>0</v>
      </c>
      <c r="Z330" s="1">
        <f t="shared" si="136"/>
        <v>1881742.24</v>
      </c>
      <c r="AA330" s="1">
        <f t="shared" si="136"/>
        <v>0</v>
      </c>
    </row>
    <row r="331" spans="1:27" s="75" customFormat="1" ht="40.5" customHeight="1">
      <c r="A331" s="76">
        <v>33</v>
      </c>
      <c r="B331" s="14" t="s">
        <v>874</v>
      </c>
      <c r="C331" s="1">
        <v>25906886.289999999</v>
      </c>
      <c r="D331" s="2">
        <f t="shared" si="135"/>
        <v>0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1">
        <v>2737</v>
      </c>
      <c r="P331" s="1">
        <v>24025144.050000001</v>
      </c>
      <c r="Q331" s="2">
        <v>0</v>
      </c>
      <c r="R331" s="2">
        <v>0</v>
      </c>
      <c r="S331" s="2">
        <v>0</v>
      </c>
      <c r="T331" s="2">
        <v>0</v>
      </c>
      <c r="U331" s="2">
        <v>0</v>
      </c>
      <c r="V331" s="2">
        <v>0</v>
      </c>
      <c r="W331" s="2">
        <v>0</v>
      </c>
      <c r="X331" s="2">
        <v>0</v>
      </c>
      <c r="Y331" s="2">
        <v>0</v>
      </c>
      <c r="Z331" s="1">
        <v>1881742.24</v>
      </c>
      <c r="AA331" s="2">
        <v>0</v>
      </c>
    </row>
    <row r="332" spans="1:27" s="75" customFormat="1" ht="40.5" customHeight="1">
      <c r="A332" s="158" t="s">
        <v>161</v>
      </c>
      <c r="B332" s="160"/>
      <c r="C332" s="1">
        <f>SUM(C333:C335)</f>
        <v>25422981.789999999</v>
      </c>
      <c r="D332" s="1">
        <f t="shared" ref="D332:AA332" si="137">SUM(D333:D335)</f>
        <v>0</v>
      </c>
      <c r="E332" s="1">
        <f t="shared" si="137"/>
        <v>0</v>
      </c>
      <c r="F332" s="1">
        <f t="shared" si="137"/>
        <v>0</v>
      </c>
      <c r="G332" s="1">
        <f t="shared" si="137"/>
        <v>0</v>
      </c>
      <c r="H332" s="1">
        <f t="shared" si="137"/>
        <v>0</v>
      </c>
      <c r="I332" s="1">
        <f t="shared" si="137"/>
        <v>0</v>
      </c>
      <c r="J332" s="1">
        <f t="shared" si="137"/>
        <v>0</v>
      </c>
      <c r="K332" s="1">
        <f t="shared" si="137"/>
        <v>0</v>
      </c>
      <c r="L332" s="1">
        <f t="shared" si="137"/>
        <v>0</v>
      </c>
      <c r="M332" s="1">
        <f t="shared" si="137"/>
        <v>0</v>
      </c>
      <c r="N332" s="1">
        <f t="shared" si="137"/>
        <v>0</v>
      </c>
      <c r="O332" s="1">
        <f t="shared" si="137"/>
        <v>1662.4</v>
      </c>
      <c r="P332" s="1">
        <f t="shared" si="137"/>
        <v>23576387.870000001</v>
      </c>
      <c r="Q332" s="1">
        <f t="shared" si="137"/>
        <v>0</v>
      </c>
      <c r="R332" s="1">
        <f t="shared" si="137"/>
        <v>0</v>
      </c>
      <c r="S332" s="1">
        <f t="shared" si="137"/>
        <v>0</v>
      </c>
      <c r="T332" s="1">
        <f t="shared" si="137"/>
        <v>0</v>
      </c>
      <c r="U332" s="1">
        <f t="shared" si="137"/>
        <v>0</v>
      </c>
      <c r="V332" s="1">
        <f t="shared" si="137"/>
        <v>0</v>
      </c>
      <c r="W332" s="1">
        <f t="shared" si="137"/>
        <v>0</v>
      </c>
      <c r="X332" s="1">
        <f t="shared" si="137"/>
        <v>0</v>
      </c>
      <c r="Y332" s="1">
        <f t="shared" si="137"/>
        <v>0</v>
      </c>
      <c r="Z332" s="1">
        <f t="shared" si="137"/>
        <v>1846593.92</v>
      </c>
      <c r="AA332" s="1">
        <f t="shared" si="137"/>
        <v>0</v>
      </c>
    </row>
    <row r="333" spans="1:27" s="75" customFormat="1" ht="30" customHeight="1">
      <c r="A333" s="76">
        <v>34</v>
      </c>
      <c r="B333" s="121" t="s">
        <v>169</v>
      </c>
      <c r="C333" s="8">
        <f>D333+L333+N333+P333+R333+T333+V333+X333+Y333++Z333+AA333</f>
        <v>10705057.300000001</v>
      </c>
      <c r="D333" s="1">
        <f>E333+F333+G333+H333+I333+J333</f>
        <v>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8">
        <v>700</v>
      </c>
      <c r="P333" s="8">
        <v>9927497.3000000007</v>
      </c>
      <c r="Q333" s="2">
        <v>0</v>
      </c>
      <c r="R333" s="2">
        <v>0</v>
      </c>
      <c r="S333" s="2">
        <v>0</v>
      </c>
      <c r="T333" s="2">
        <v>0</v>
      </c>
      <c r="U333" s="2">
        <v>0</v>
      </c>
      <c r="V333" s="2">
        <v>0</v>
      </c>
      <c r="W333" s="2">
        <v>0</v>
      </c>
      <c r="X333" s="2">
        <v>0</v>
      </c>
      <c r="Y333" s="2">
        <v>0</v>
      </c>
      <c r="Z333" s="8">
        <v>777560</v>
      </c>
      <c r="AA333" s="2">
        <v>0</v>
      </c>
    </row>
    <row r="334" spans="1:27" s="75" customFormat="1" ht="34.5" customHeight="1">
      <c r="A334" s="76">
        <v>35</v>
      </c>
      <c r="B334" s="121" t="s">
        <v>170</v>
      </c>
      <c r="C334" s="8">
        <f t="shared" ref="C334:C335" si="138">D334+L334+N334+P334+R334+T334+V334+X334+Y334++Z334+AA334</f>
        <v>7799398.8899999997</v>
      </c>
      <c r="D334" s="1">
        <f t="shared" ref="D334:D335" si="139">E334+F334+G334+H334+I334+J334</f>
        <v>0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8">
        <v>510</v>
      </c>
      <c r="P334" s="8">
        <v>7232890.8899999997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2">
        <v>0</v>
      </c>
      <c r="W334" s="2">
        <v>0</v>
      </c>
      <c r="X334" s="2">
        <v>0</v>
      </c>
      <c r="Y334" s="2">
        <v>0</v>
      </c>
      <c r="Z334" s="8">
        <v>566508</v>
      </c>
      <c r="AA334" s="2">
        <v>0</v>
      </c>
    </row>
    <row r="335" spans="1:27" s="75" customFormat="1" ht="30" customHeight="1">
      <c r="A335" s="76">
        <v>36</v>
      </c>
      <c r="B335" s="121" t="s">
        <v>171</v>
      </c>
      <c r="C335" s="8">
        <f t="shared" si="138"/>
        <v>6918525.5999999996</v>
      </c>
      <c r="D335" s="1">
        <f t="shared" si="139"/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8">
        <v>452.4</v>
      </c>
      <c r="P335" s="8">
        <v>6415999.6799999997</v>
      </c>
      <c r="Q335" s="2">
        <v>0</v>
      </c>
      <c r="R335" s="2">
        <v>0</v>
      </c>
      <c r="S335" s="2">
        <v>0</v>
      </c>
      <c r="T335" s="2">
        <v>0</v>
      </c>
      <c r="U335" s="2">
        <v>0</v>
      </c>
      <c r="V335" s="2">
        <v>0</v>
      </c>
      <c r="W335" s="2">
        <v>0</v>
      </c>
      <c r="X335" s="2">
        <v>0</v>
      </c>
      <c r="Y335" s="2">
        <v>0</v>
      </c>
      <c r="Z335" s="8">
        <v>502525.92</v>
      </c>
      <c r="AA335" s="2">
        <v>0</v>
      </c>
    </row>
    <row r="336" spans="1:27" s="75" customFormat="1" ht="37.5" customHeight="1">
      <c r="A336" s="158" t="s">
        <v>233</v>
      </c>
      <c r="B336" s="160"/>
      <c r="C336" s="1">
        <f>SUM(C337:C352)</f>
        <v>133918828.46000001</v>
      </c>
      <c r="D336" s="1">
        <f t="shared" ref="D336:P336" si="140">SUM(D337:D352)</f>
        <v>0</v>
      </c>
      <c r="E336" s="1">
        <f t="shared" si="140"/>
        <v>0</v>
      </c>
      <c r="F336" s="1">
        <f t="shared" si="140"/>
        <v>0</v>
      </c>
      <c r="G336" s="1">
        <f t="shared" si="140"/>
        <v>0</v>
      </c>
      <c r="H336" s="1">
        <f t="shared" si="140"/>
        <v>0</v>
      </c>
      <c r="I336" s="1">
        <f t="shared" si="140"/>
        <v>0</v>
      </c>
      <c r="J336" s="1">
        <f t="shared" si="140"/>
        <v>0</v>
      </c>
      <c r="K336" s="1">
        <f t="shared" si="140"/>
        <v>0</v>
      </c>
      <c r="L336" s="1">
        <f t="shared" si="140"/>
        <v>0</v>
      </c>
      <c r="M336" s="1">
        <f t="shared" si="140"/>
        <v>4</v>
      </c>
      <c r="N336" s="1">
        <f t="shared" si="140"/>
        <v>23699564.629999999</v>
      </c>
      <c r="O336" s="1">
        <f t="shared" si="140"/>
        <v>9656.2300000000014</v>
      </c>
      <c r="P336" s="1">
        <f t="shared" si="140"/>
        <v>99845812.849999994</v>
      </c>
      <c r="Q336" s="1">
        <f t="shared" ref="Q336" si="141">SUM(Q337:Q352)</f>
        <v>0</v>
      </c>
      <c r="R336" s="1">
        <f t="shared" ref="R336" si="142">SUM(R337:R352)</f>
        <v>0</v>
      </c>
      <c r="S336" s="1">
        <f t="shared" ref="S336" si="143">SUM(S337:S352)</f>
        <v>0</v>
      </c>
      <c r="T336" s="1">
        <f t="shared" ref="T336" si="144">SUM(T337:T352)</f>
        <v>0</v>
      </c>
      <c r="U336" s="1">
        <f t="shared" ref="U336" si="145">SUM(U337:U352)</f>
        <v>0</v>
      </c>
      <c r="V336" s="1">
        <f t="shared" ref="V336" si="146">SUM(V337:V352)</f>
        <v>0</v>
      </c>
      <c r="W336" s="1">
        <f t="shared" ref="W336" si="147">SUM(W337:W352)</f>
        <v>0</v>
      </c>
      <c r="X336" s="1">
        <f t="shared" ref="X336" si="148">SUM(X337:X352)</f>
        <v>0</v>
      </c>
      <c r="Y336" s="1">
        <f t="shared" ref="Y336" si="149">SUM(Y337:Y352)</f>
        <v>0</v>
      </c>
      <c r="Z336" s="1">
        <f t="shared" ref="Z336" si="150">SUM(Z337:Z352)</f>
        <v>10373450.98</v>
      </c>
      <c r="AA336" s="1">
        <f t="shared" ref="AA336" si="151">SUM(AA337:AA352)</f>
        <v>0</v>
      </c>
    </row>
    <row r="337" spans="1:27" ht="42" customHeight="1">
      <c r="A337" s="76">
        <v>37</v>
      </c>
      <c r="B337" s="22" t="s">
        <v>250</v>
      </c>
      <c r="C337" s="1">
        <f t="shared" ref="C337:C343" si="152">SUM(D337+L337+N337+P337+R337+T337+V337+X337+Y337+Z337+AA337)</f>
        <v>9355632.5999999996</v>
      </c>
      <c r="D337" s="1">
        <f t="shared" ref="D337:D352" si="153">E337+F337+G337+H337+I337+J337</f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5">
        <v>0</v>
      </c>
      <c r="N337" s="1">
        <v>0</v>
      </c>
      <c r="O337" s="8">
        <v>988.4</v>
      </c>
      <c r="P337" s="8">
        <v>8676087.8300000001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0</v>
      </c>
      <c r="W337" s="1">
        <v>0</v>
      </c>
      <c r="X337" s="29">
        <v>0</v>
      </c>
      <c r="Y337" s="29">
        <v>0</v>
      </c>
      <c r="Z337" s="8">
        <v>679544.77</v>
      </c>
      <c r="AA337" s="29">
        <v>0</v>
      </c>
    </row>
    <row r="338" spans="1:27" ht="40.5" customHeight="1">
      <c r="A338" s="76">
        <v>38</v>
      </c>
      <c r="B338" s="121" t="s">
        <v>505</v>
      </c>
      <c r="C338" s="1">
        <f t="shared" si="152"/>
        <v>7888963.96</v>
      </c>
      <c r="D338" s="1">
        <f t="shared" si="153"/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5">
        <v>0</v>
      </c>
      <c r="N338" s="1">
        <v>0</v>
      </c>
      <c r="O338" s="8">
        <v>833.45</v>
      </c>
      <c r="P338" s="8">
        <v>7315950.4199999999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29">
        <v>0</v>
      </c>
      <c r="Y338" s="29">
        <v>0</v>
      </c>
      <c r="Z338" s="8">
        <v>573013.54</v>
      </c>
      <c r="AA338" s="29">
        <v>0</v>
      </c>
    </row>
    <row r="339" spans="1:27" ht="33.75" customHeight="1">
      <c r="A339" s="76">
        <v>39</v>
      </c>
      <c r="B339" s="22" t="s">
        <v>506</v>
      </c>
      <c r="C339" s="1">
        <f t="shared" si="152"/>
        <v>11757769.82</v>
      </c>
      <c r="D339" s="1">
        <f t="shared" si="153"/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5">
        <v>0</v>
      </c>
      <c r="N339" s="1">
        <v>0</v>
      </c>
      <c r="O339" s="8">
        <v>1242.18</v>
      </c>
      <c r="P339" s="8">
        <v>10903746.23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29">
        <v>0</v>
      </c>
      <c r="Y339" s="29">
        <v>0</v>
      </c>
      <c r="Z339" s="8">
        <v>854023.59</v>
      </c>
      <c r="AA339" s="29">
        <v>0</v>
      </c>
    </row>
    <row r="340" spans="1:27" ht="36" customHeight="1">
      <c r="A340" s="76">
        <v>40</v>
      </c>
      <c r="B340" s="22" t="s">
        <v>507</v>
      </c>
      <c r="C340" s="1">
        <f t="shared" si="152"/>
        <v>7477690.96</v>
      </c>
      <c r="D340" s="1">
        <f t="shared" si="153"/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5">
        <v>0</v>
      </c>
      <c r="N340" s="1">
        <v>0</v>
      </c>
      <c r="O340" s="8">
        <v>790</v>
      </c>
      <c r="P340" s="8">
        <v>6934550.1600000001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29">
        <v>0</v>
      </c>
      <c r="Y340" s="29">
        <v>0</v>
      </c>
      <c r="Z340" s="8">
        <v>543140.80000000005</v>
      </c>
      <c r="AA340" s="29">
        <v>0</v>
      </c>
    </row>
    <row r="341" spans="1:27" ht="34.5" customHeight="1">
      <c r="A341" s="76">
        <v>41</v>
      </c>
      <c r="B341" s="22" t="s">
        <v>508</v>
      </c>
      <c r="C341" s="1">
        <f t="shared" si="152"/>
        <v>12589024.029999999</v>
      </c>
      <c r="D341" s="1">
        <f t="shared" si="153"/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5">
        <v>0</v>
      </c>
      <c r="N341" s="1">
        <v>0</v>
      </c>
      <c r="O341" s="8">
        <v>1330</v>
      </c>
      <c r="P341" s="8">
        <v>11674622.43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s="29">
        <v>0</v>
      </c>
      <c r="Y341" s="29">
        <v>0</v>
      </c>
      <c r="Z341" s="8">
        <v>914401.6</v>
      </c>
      <c r="AA341" s="29">
        <v>0</v>
      </c>
    </row>
    <row r="342" spans="1:27" ht="33.75" customHeight="1">
      <c r="A342" s="76">
        <v>42</v>
      </c>
      <c r="B342" s="21" t="s">
        <v>875</v>
      </c>
      <c r="C342" s="1">
        <f t="shared" si="152"/>
        <v>8479934.6799999997</v>
      </c>
      <c r="D342" s="1">
        <f t="shared" si="153"/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5">
        <v>0</v>
      </c>
      <c r="N342" s="1">
        <v>0</v>
      </c>
      <c r="O342" s="8">
        <v>554.5</v>
      </c>
      <c r="P342" s="8">
        <v>7863996.0800000001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29">
        <v>0</v>
      </c>
      <c r="Y342" s="29">
        <v>0</v>
      </c>
      <c r="Z342" s="8">
        <v>615938.6</v>
      </c>
      <c r="AA342" s="29">
        <v>0</v>
      </c>
    </row>
    <row r="343" spans="1:27" ht="33.75" customHeight="1">
      <c r="A343" s="76">
        <v>43</v>
      </c>
      <c r="B343" s="22" t="s">
        <v>509</v>
      </c>
      <c r="C343" s="1">
        <f t="shared" si="152"/>
        <v>12203765.32</v>
      </c>
      <c r="D343" s="1">
        <f t="shared" si="153"/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5">
        <v>0</v>
      </c>
      <c r="N343" s="1">
        <v>0</v>
      </c>
      <c r="O343" s="8">
        <v>798</v>
      </c>
      <c r="P343" s="8">
        <v>11317346.92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29">
        <v>0</v>
      </c>
      <c r="Y343" s="29">
        <v>0</v>
      </c>
      <c r="Z343" s="8">
        <v>886418.4</v>
      </c>
      <c r="AA343" s="29">
        <v>0</v>
      </c>
    </row>
    <row r="344" spans="1:27" ht="37.5" customHeight="1">
      <c r="A344" s="76">
        <v>44</v>
      </c>
      <c r="B344" s="22" t="s">
        <v>510</v>
      </c>
      <c r="C344" s="1">
        <f>SUM(D344+L344+N344+P344+R344+T344+V344+Y344+Z344+AA344)</f>
        <v>207006</v>
      </c>
      <c r="D344" s="1">
        <f t="shared" si="153"/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5">
        <v>0</v>
      </c>
      <c r="N344" s="1">
        <v>0</v>
      </c>
      <c r="O344" s="2">
        <v>0</v>
      </c>
      <c r="P344" s="29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29" t="s">
        <v>262</v>
      </c>
      <c r="Y344" s="29">
        <v>0</v>
      </c>
      <c r="Z344" s="8">
        <v>207006</v>
      </c>
      <c r="AA344" s="29">
        <v>0</v>
      </c>
    </row>
    <row r="345" spans="1:27" ht="33.75" customHeight="1">
      <c r="A345" s="76">
        <v>45</v>
      </c>
      <c r="B345" s="21" t="s">
        <v>511</v>
      </c>
      <c r="C345" s="1">
        <f xml:space="preserve"> SUM(D345+L345+N345+P345+R345+T345+V345+X345+Z345+Y345+AA345)</f>
        <v>7065337.8199999994</v>
      </c>
      <c r="D345" s="1">
        <f t="shared" si="153"/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5">
        <v>0</v>
      </c>
      <c r="N345" s="1">
        <v>0</v>
      </c>
      <c r="O345" s="8">
        <v>462</v>
      </c>
      <c r="P345" s="8">
        <v>6552148.2199999997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29">
        <v>0</v>
      </c>
      <c r="Z345" s="8">
        <v>513189.6</v>
      </c>
      <c r="AA345" s="29">
        <v>0</v>
      </c>
    </row>
    <row r="346" spans="1:27" ht="32.25" customHeight="1">
      <c r="A346" s="76">
        <v>46</v>
      </c>
      <c r="B346" s="21" t="s">
        <v>512</v>
      </c>
      <c r="C346" s="1">
        <f>SUM(D346+L346+N346+P346+R346+T346+V346+Y346+Z346+AA346)</f>
        <v>115633</v>
      </c>
      <c r="D346" s="1">
        <f t="shared" si="153"/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5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 t="s">
        <v>262</v>
      </c>
      <c r="Y346" s="29">
        <v>0</v>
      </c>
      <c r="Z346" s="8">
        <v>115633</v>
      </c>
      <c r="AA346" s="29">
        <v>0</v>
      </c>
    </row>
    <row r="347" spans="1:27" ht="33.75" customHeight="1">
      <c r="A347" s="76">
        <v>47</v>
      </c>
      <c r="B347" s="22" t="s">
        <v>251</v>
      </c>
      <c r="C347" s="1">
        <f t="shared" ref="C347:C352" si="154">SUM(D347+L347+N347+P347+R347+T347+V347+X347+Y347+Z347+AA347)</f>
        <v>4276482</v>
      </c>
      <c r="D347" s="1">
        <f t="shared" si="153"/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5">
        <v>0</v>
      </c>
      <c r="N347" s="1">
        <v>0</v>
      </c>
      <c r="O347" s="8">
        <v>451.8</v>
      </c>
      <c r="P347" s="8">
        <v>3965860.46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29">
        <v>0</v>
      </c>
      <c r="Y347" s="29">
        <v>0</v>
      </c>
      <c r="Z347" s="8">
        <v>310621.53999999998</v>
      </c>
      <c r="AA347" s="29">
        <v>0</v>
      </c>
    </row>
    <row r="348" spans="1:27" ht="39" customHeight="1">
      <c r="A348" s="76">
        <v>48</v>
      </c>
      <c r="B348" s="22" t="s">
        <v>252</v>
      </c>
      <c r="C348" s="1">
        <f t="shared" si="154"/>
        <v>6468913.2000000002</v>
      </c>
      <c r="D348" s="1">
        <f t="shared" si="153"/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5">
        <v>0</v>
      </c>
      <c r="N348" s="1">
        <v>0</v>
      </c>
      <c r="O348" s="8">
        <v>423</v>
      </c>
      <c r="P348" s="8">
        <v>5999044.7999999998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29">
        <v>0</v>
      </c>
      <c r="Y348" s="29">
        <v>0</v>
      </c>
      <c r="Z348" s="8">
        <v>469868.4</v>
      </c>
      <c r="AA348" s="29">
        <v>0</v>
      </c>
    </row>
    <row r="349" spans="1:27" ht="38.25" customHeight="1">
      <c r="A349" s="76">
        <v>49</v>
      </c>
      <c r="B349" s="22" t="s">
        <v>253</v>
      </c>
      <c r="C349" s="1">
        <f t="shared" si="154"/>
        <v>8467700.3200000003</v>
      </c>
      <c r="D349" s="1">
        <f t="shared" si="153"/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5">
        <v>0</v>
      </c>
      <c r="N349" s="1">
        <v>0</v>
      </c>
      <c r="O349" s="8">
        <v>553.70000000000005</v>
      </c>
      <c r="P349" s="8">
        <v>7852650.3600000003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29">
        <v>0</v>
      </c>
      <c r="Y349" s="29">
        <v>0</v>
      </c>
      <c r="Z349" s="8">
        <v>615049.96</v>
      </c>
      <c r="AA349" s="29">
        <v>0</v>
      </c>
    </row>
    <row r="350" spans="1:27" ht="38.25" customHeight="1">
      <c r="A350" s="76">
        <v>50</v>
      </c>
      <c r="B350" s="22" t="s">
        <v>254</v>
      </c>
      <c r="C350" s="1">
        <f>SUM(D350+L350+N350+P350+R350+T350+V350+Y350+Z350+AA350)</f>
        <v>374260</v>
      </c>
      <c r="D350" s="1">
        <f t="shared" si="153"/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5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 t="s">
        <v>262</v>
      </c>
      <c r="Y350" s="29">
        <v>0</v>
      </c>
      <c r="Z350" s="8">
        <v>374260</v>
      </c>
      <c r="AA350" s="29">
        <v>0</v>
      </c>
    </row>
    <row r="351" spans="1:27" s="75" customFormat="1" ht="27" customHeight="1">
      <c r="A351" s="76">
        <v>51</v>
      </c>
      <c r="B351" s="22" t="s">
        <v>255</v>
      </c>
      <c r="C351" s="1">
        <f t="shared" si="154"/>
        <v>11634908.520000001</v>
      </c>
      <c r="D351" s="1">
        <f t="shared" si="153"/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5">
        <v>0</v>
      </c>
      <c r="N351" s="1">
        <v>0</v>
      </c>
      <c r="O351" s="8">
        <v>1229.2</v>
      </c>
      <c r="P351" s="8">
        <v>10789808.940000001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29">
        <v>0</v>
      </c>
      <c r="Z351" s="8">
        <v>845099.58</v>
      </c>
      <c r="AA351" s="29">
        <v>0</v>
      </c>
    </row>
    <row r="352" spans="1:27" s="75" customFormat="1" ht="31.5" customHeight="1">
      <c r="A352" s="76">
        <v>52</v>
      </c>
      <c r="B352" s="21" t="s">
        <v>256</v>
      </c>
      <c r="C352" s="26">
        <f t="shared" si="154"/>
        <v>25555806.23</v>
      </c>
      <c r="D352" s="26">
        <f t="shared" si="153"/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27">
        <v>4</v>
      </c>
      <c r="N352" s="8">
        <v>23699564.629999999</v>
      </c>
      <c r="O352" s="30">
        <v>0</v>
      </c>
      <c r="P352" s="30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0</v>
      </c>
      <c r="W352" s="1">
        <v>0</v>
      </c>
      <c r="X352" s="30">
        <v>0</v>
      </c>
      <c r="Y352" s="29">
        <v>0</v>
      </c>
      <c r="Z352" s="8">
        <v>1856241.6</v>
      </c>
      <c r="AA352" s="29">
        <v>0</v>
      </c>
    </row>
    <row r="353" spans="1:27" s="75" customFormat="1" ht="36.75" customHeight="1">
      <c r="A353" s="158" t="s">
        <v>68</v>
      </c>
      <c r="B353" s="160"/>
      <c r="C353" s="1">
        <f>C354</f>
        <v>11964589.93</v>
      </c>
      <c r="D353" s="1">
        <f t="shared" ref="D353:AA353" si="155">D354</f>
        <v>0</v>
      </c>
      <c r="E353" s="1">
        <f t="shared" si="155"/>
        <v>0</v>
      </c>
      <c r="F353" s="1">
        <f t="shared" si="155"/>
        <v>0</v>
      </c>
      <c r="G353" s="1">
        <f t="shared" si="155"/>
        <v>0</v>
      </c>
      <c r="H353" s="1">
        <f t="shared" si="155"/>
        <v>0</v>
      </c>
      <c r="I353" s="1">
        <f t="shared" si="155"/>
        <v>0</v>
      </c>
      <c r="J353" s="1">
        <f t="shared" si="155"/>
        <v>0</v>
      </c>
      <c r="K353" s="1">
        <f t="shared" si="155"/>
        <v>0</v>
      </c>
      <c r="L353" s="1">
        <f t="shared" si="155"/>
        <v>0</v>
      </c>
      <c r="M353" s="1">
        <f t="shared" si="155"/>
        <v>0</v>
      </c>
      <c r="N353" s="1">
        <f t="shared" si="155"/>
        <v>0</v>
      </c>
      <c r="O353" s="1">
        <f t="shared" si="155"/>
        <v>836.2</v>
      </c>
      <c r="P353" s="1">
        <f t="shared" si="155"/>
        <v>11095543.99</v>
      </c>
      <c r="Q353" s="1">
        <f t="shared" si="155"/>
        <v>0</v>
      </c>
      <c r="R353" s="1">
        <f t="shared" si="155"/>
        <v>0</v>
      </c>
      <c r="S353" s="1">
        <f t="shared" si="155"/>
        <v>0</v>
      </c>
      <c r="T353" s="1">
        <f t="shared" si="155"/>
        <v>0</v>
      </c>
      <c r="U353" s="1">
        <f t="shared" si="155"/>
        <v>0</v>
      </c>
      <c r="V353" s="1">
        <f t="shared" si="155"/>
        <v>0</v>
      </c>
      <c r="W353" s="1">
        <f t="shared" si="155"/>
        <v>0</v>
      </c>
      <c r="X353" s="1">
        <f t="shared" si="155"/>
        <v>0</v>
      </c>
      <c r="Y353" s="1">
        <f t="shared" si="155"/>
        <v>0</v>
      </c>
      <c r="Z353" s="1">
        <f t="shared" si="155"/>
        <v>869045.94</v>
      </c>
      <c r="AA353" s="1">
        <f t="shared" si="155"/>
        <v>0</v>
      </c>
    </row>
    <row r="354" spans="1:27" s="75" customFormat="1" ht="33" customHeight="1">
      <c r="A354" s="76">
        <v>53</v>
      </c>
      <c r="B354" s="121" t="s">
        <v>72</v>
      </c>
      <c r="C354" s="1">
        <f>D354+L354+N354+P354+R354+T354+V354+X354+Y354+Z354+AA354</f>
        <v>11964589.93</v>
      </c>
      <c r="D354" s="1">
        <f>E354+F354+G354+H354+I354+J354</f>
        <v>0</v>
      </c>
      <c r="E354" s="2">
        <v>0</v>
      </c>
      <c r="F354" s="2">
        <v>0</v>
      </c>
      <c r="G354" s="2">
        <v>0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3">
        <v>836.2</v>
      </c>
      <c r="P354" s="8">
        <v>11095543.99</v>
      </c>
      <c r="Q354" s="3">
        <v>0</v>
      </c>
      <c r="R354" s="3">
        <v>0</v>
      </c>
      <c r="S354" s="3">
        <v>0</v>
      </c>
      <c r="T354" s="3">
        <v>0</v>
      </c>
      <c r="U354" s="3">
        <v>0</v>
      </c>
      <c r="V354" s="3">
        <v>0</v>
      </c>
      <c r="W354" s="3">
        <v>0</v>
      </c>
      <c r="X354" s="3">
        <v>0</v>
      </c>
      <c r="Y354" s="3">
        <v>0</v>
      </c>
      <c r="Z354" s="1">
        <v>869045.94</v>
      </c>
      <c r="AA354" s="2">
        <v>0</v>
      </c>
    </row>
    <row r="355" spans="1:27" s="75" customFormat="1" ht="35.25" customHeight="1">
      <c r="A355" s="158" t="s">
        <v>154</v>
      </c>
      <c r="B355" s="160"/>
      <c r="C355" s="8">
        <f>SUM(C356:C357)</f>
        <v>12665612.08</v>
      </c>
      <c r="D355" s="8">
        <f t="shared" ref="D355:AA355" si="156">SUM(D356:D357)</f>
        <v>0</v>
      </c>
      <c r="E355" s="8">
        <f t="shared" si="156"/>
        <v>0</v>
      </c>
      <c r="F355" s="8">
        <f t="shared" si="156"/>
        <v>0</v>
      </c>
      <c r="G355" s="8">
        <f t="shared" si="156"/>
        <v>0</v>
      </c>
      <c r="H355" s="8">
        <f t="shared" si="156"/>
        <v>0</v>
      </c>
      <c r="I355" s="8">
        <f t="shared" si="156"/>
        <v>0</v>
      </c>
      <c r="J355" s="8">
        <f t="shared" si="156"/>
        <v>0</v>
      </c>
      <c r="K355" s="8">
        <f t="shared" si="156"/>
        <v>0</v>
      </c>
      <c r="L355" s="8">
        <f t="shared" si="156"/>
        <v>0</v>
      </c>
      <c r="M355" s="8">
        <f t="shared" si="156"/>
        <v>0</v>
      </c>
      <c r="N355" s="8">
        <f t="shared" si="156"/>
        <v>0</v>
      </c>
      <c r="O355" s="8">
        <f t="shared" si="156"/>
        <v>828.2</v>
      </c>
      <c r="P355" s="8">
        <f t="shared" si="156"/>
        <v>11745647.52</v>
      </c>
      <c r="Q355" s="8">
        <f t="shared" si="156"/>
        <v>0</v>
      </c>
      <c r="R355" s="8">
        <f t="shared" si="156"/>
        <v>0</v>
      </c>
      <c r="S355" s="8">
        <f t="shared" si="156"/>
        <v>0</v>
      </c>
      <c r="T355" s="8">
        <f t="shared" si="156"/>
        <v>0</v>
      </c>
      <c r="U355" s="8">
        <f t="shared" si="156"/>
        <v>0</v>
      </c>
      <c r="V355" s="8">
        <f t="shared" si="156"/>
        <v>0</v>
      </c>
      <c r="W355" s="8">
        <f t="shared" si="156"/>
        <v>0</v>
      </c>
      <c r="X355" s="8">
        <f t="shared" si="156"/>
        <v>0</v>
      </c>
      <c r="Y355" s="8">
        <f t="shared" si="156"/>
        <v>0</v>
      </c>
      <c r="Z355" s="8">
        <f t="shared" si="156"/>
        <v>919964.55999999994</v>
      </c>
      <c r="AA355" s="8">
        <f t="shared" si="156"/>
        <v>0</v>
      </c>
    </row>
    <row r="356" spans="1:27" s="75" customFormat="1" ht="29.25" customHeight="1">
      <c r="A356" s="76">
        <v>54</v>
      </c>
      <c r="B356" s="124" t="s">
        <v>281</v>
      </c>
      <c r="C356" s="1">
        <f t="shared" ref="C356:C357" si="157">D356+L356+N356+P356+R356+T356+V356+X356+Y356+Z356+AA356</f>
        <v>9129884.5800000001</v>
      </c>
      <c r="D356" s="1">
        <f>E356+F356+G356+H356+I356+J356</f>
        <v>0</v>
      </c>
      <c r="E356" s="2">
        <v>0</v>
      </c>
      <c r="F356" s="2">
        <v>0</v>
      </c>
      <c r="G356" s="2">
        <v>0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3">
        <v>597</v>
      </c>
      <c r="P356" s="1">
        <v>8466736.9800000004</v>
      </c>
      <c r="Q356" s="2">
        <v>0</v>
      </c>
      <c r="R356" s="2">
        <v>0</v>
      </c>
      <c r="S356" s="2">
        <v>0</v>
      </c>
      <c r="T356" s="2">
        <v>0</v>
      </c>
      <c r="U356" s="2">
        <v>0</v>
      </c>
      <c r="V356" s="2">
        <v>0</v>
      </c>
      <c r="W356" s="2">
        <v>0</v>
      </c>
      <c r="X356" s="2">
        <v>0</v>
      </c>
      <c r="Y356" s="2">
        <v>0</v>
      </c>
      <c r="Z356" s="8">
        <v>663147.6</v>
      </c>
      <c r="AA356" s="2">
        <v>0</v>
      </c>
    </row>
    <row r="357" spans="1:27" s="75" customFormat="1" ht="36.75" customHeight="1">
      <c r="A357" s="76">
        <v>55</v>
      </c>
      <c r="B357" s="121" t="s">
        <v>282</v>
      </c>
      <c r="C357" s="1">
        <f t="shared" si="157"/>
        <v>3535727.5</v>
      </c>
      <c r="D357" s="1">
        <f>E357+F357+G357+H357+I357+J357</f>
        <v>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3">
        <v>231.2</v>
      </c>
      <c r="P357" s="1">
        <v>3278910.54</v>
      </c>
      <c r="Q357" s="2">
        <v>0</v>
      </c>
      <c r="R357" s="2">
        <v>0</v>
      </c>
      <c r="S357" s="2">
        <v>0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 s="2">
        <v>0</v>
      </c>
      <c r="Z357" s="8">
        <v>256816.96</v>
      </c>
      <c r="AA357" s="2">
        <v>0</v>
      </c>
    </row>
    <row r="358" spans="1:27" s="111" customFormat="1" ht="40.5" customHeight="1">
      <c r="A358" s="158" t="s">
        <v>97</v>
      </c>
      <c r="B358" s="160"/>
      <c r="C358" s="1">
        <f>SUM(C359:C362)</f>
        <v>30384089.410000004</v>
      </c>
      <c r="D358" s="1">
        <f t="shared" ref="D358:AA358" si="158">SUM(D359:D361)</f>
        <v>0</v>
      </c>
      <c r="E358" s="1">
        <f t="shared" si="158"/>
        <v>0</v>
      </c>
      <c r="F358" s="1">
        <f t="shared" si="158"/>
        <v>0</v>
      </c>
      <c r="G358" s="1">
        <f t="shared" si="158"/>
        <v>0</v>
      </c>
      <c r="H358" s="1">
        <f t="shared" si="158"/>
        <v>0</v>
      </c>
      <c r="I358" s="1">
        <f t="shared" si="158"/>
        <v>0</v>
      </c>
      <c r="J358" s="1">
        <f t="shared" si="158"/>
        <v>0</v>
      </c>
      <c r="K358" s="1">
        <f t="shared" si="158"/>
        <v>0</v>
      </c>
      <c r="L358" s="1">
        <f t="shared" si="158"/>
        <v>0</v>
      </c>
      <c r="M358" s="1">
        <f t="shared" si="158"/>
        <v>0</v>
      </c>
      <c r="N358" s="1">
        <f t="shared" si="158"/>
        <v>0</v>
      </c>
      <c r="O358" s="1">
        <f>SUM(O359:O362)</f>
        <v>2856</v>
      </c>
      <c r="P358" s="1">
        <f>SUM(P359:P362)</f>
        <v>28177146.290000003</v>
      </c>
      <c r="Q358" s="1">
        <f t="shared" si="158"/>
        <v>0</v>
      </c>
      <c r="R358" s="1">
        <f t="shared" si="158"/>
        <v>0</v>
      </c>
      <c r="S358" s="1">
        <f t="shared" si="158"/>
        <v>0</v>
      </c>
      <c r="T358" s="1">
        <f t="shared" si="158"/>
        <v>0</v>
      </c>
      <c r="U358" s="1">
        <f t="shared" si="158"/>
        <v>0</v>
      </c>
      <c r="V358" s="1">
        <f t="shared" si="158"/>
        <v>0</v>
      </c>
      <c r="W358" s="1">
        <f t="shared" si="158"/>
        <v>0</v>
      </c>
      <c r="X358" s="1">
        <f t="shared" si="158"/>
        <v>0</v>
      </c>
      <c r="Y358" s="1">
        <f t="shared" si="158"/>
        <v>0</v>
      </c>
      <c r="Z358" s="1">
        <f>SUM(Z359:Z362)</f>
        <v>2206943.12</v>
      </c>
      <c r="AA358" s="1">
        <f t="shared" si="158"/>
        <v>0</v>
      </c>
    </row>
    <row r="359" spans="1:27" s="74" customFormat="1" ht="30" customHeight="1">
      <c r="A359" s="76">
        <v>56</v>
      </c>
      <c r="B359" s="121" t="s">
        <v>634</v>
      </c>
      <c r="C359" s="8">
        <f>D359+L359+N359+P359+R359+T359+V359+X359+Y359+Z359+AA359</f>
        <v>9064097.3000000007</v>
      </c>
      <c r="D359" s="8">
        <f t="shared" ref="D359:D362" si="159">E359+F359+G359+H359+I359+J359</f>
        <v>0</v>
      </c>
      <c r="E359" s="8">
        <v>0</v>
      </c>
      <c r="F359" s="8">
        <v>0</v>
      </c>
      <c r="G359" s="8">
        <v>0</v>
      </c>
      <c r="H359" s="8">
        <v>0</v>
      </c>
      <c r="I359" s="8">
        <v>0</v>
      </c>
      <c r="J359" s="8">
        <v>0</v>
      </c>
      <c r="K359" s="8">
        <v>0</v>
      </c>
      <c r="L359" s="8">
        <v>0</v>
      </c>
      <c r="M359" s="8">
        <v>0</v>
      </c>
      <c r="N359" s="8">
        <v>0</v>
      </c>
      <c r="O359" s="3">
        <v>957.6</v>
      </c>
      <c r="P359" s="1">
        <v>8405728.1500000004</v>
      </c>
      <c r="Q359" s="8">
        <v>0</v>
      </c>
      <c r="R359" s="8">
        <v>0</v>
      </c>
      <c r="S359" s="8">
        <v>0</v>
      </c>
      <c r="T359" s="8">
        <v>0</v>
      </c>
      <c r="U359" s="8">
        <v>0</v>
      </c>
      <c r="V359" s="8">
        <v>0</v>
      </c>
      <c r="W359" s="8">
        <v>0</v>
      </c>
      <c r="X359" s="8">
        <v>0</v>
      </c>
      <c r="Y359" s="8">
        <v>0</v>
      </c>
      <c r="Z359" s="5">
        <v>658369.15</v>
      </c>
      <c r="AA359" s="8">
        <v>0</v>
      </c>
    </row>
    <row r="360" spans="1:27" s="74" customFormat="1" ht="32.25" customHeight="1">
      <c r="A360" s="76">
        <v>57</v>
      </c>
      <c r="B360" s="121" t="s">
        <v>100</v>
      </c>
      <c r="C360" s="8">
        <f t="shared" ref="C360:C364" si="160">D360+L360+N360+P360+R360+T360+V360+X360+Y360+Z360+AA360</f>
        <v>4480831.13</v>
      </c>
      <c r="D360" s="8">
        <f t="shared" si="159"/>
        <v>0</v>
      </c>
      <c r="E360" s="8">
        <v>0</v>
      </c>
      <c r="F360" s="8">
        <v>0</v>
      </c>
      <c r="G360" s="8">
        <v>0</v>
      </c>
      <c r="H360" s="8">
        <v>0</v>
      </c>
      <c r="I360" s="8">
        <v>0</v>
      </c>
      <c r="J360" s="8">
        <v>0</v>
      </c>
      <c r="K360" s="8">
        <v>0</v>
      </c>
      <c r="L360" s="8">
        <v>0</v>
      </c>
      <c r="M360" s="8">
        <v>0</v>
      </c>
      <c r="N360" s="8">
        <v>0</v>
      </c>
      <c r="O360" s="3">
        <v>293</v>
      </c>
      <c r="P360" s="8">
        <v>4155366.73</v>
      </c>
      <c r="Q360" s="8">
        <v>0</v>
      </c>
      <c r="R360" s="8">
        <v>0</v>
      </c>
      <c r="S360" s="8">
        <v>0</v>
      </c>
      <c r="T360" s="8">
        <v>0</v>
      </c>
      <c r="U360" s="8">
        <v>0</v>
      </c>
      <c r="V360" s="8">
        <v>0</v>
      </c>
      <c r="W360" s="8">
        <v>0</v>
      </c>
      <c r="X360" s="8">
        <v>0</v>
      </c>
      <c r="Y360" s="8">
        <v>0</v>
      </c>
      <c r="Z360" s="1">
        <v>325464.40000000002</v>
      </c>
      <c r="AA360" s="8">
        <v>0</v>
      </c>
    </row>
    <row r="361" spans="1:27" s="74" customFormat="1" ht="39.75" customHeight="1">
      <c r="A361" s="76">
        <v>58</v>
      </c>
      <c r="B361" s="121" t="s">
        <v>101</v>
      </c>
      <c r="C361" s="8">
        <f t="shared" si="160"/>
        <v>4312608.8</v>
      </c>
      <c r="D361" s="8">
        <f t="shared" si="159"/>
        <v>0</v>
      </c>
      <c r="E361" s="8">
        <v>0</v>
      </c>
      <c r="F361" s="8">
        <v>0</v>
      </c>
      <c r="G361" s="8">
        <v>0</v>
      </c>
      <c r="H361" s="8">
        <v>0</v>
      </c>
      <c r="I361" s="8">
        <v>0</v>
      </c>
      <c r="J361" s="8">
        <v>0</v>
      </c>
      <c r="K361" s="8">
        <v>0</v>
      </c>
      <c r="L361" s="8">
        <v>0</v>
      </c>
      <c r="M361" s="8">
        <v>0</v>
      </c>
      <c r="N361" s="8">
        <v>0</v>
      </c>
      <c r="O361" s="3">
        <v>282</v>
      </c>
      <c r="P361" s="8">
        <v>3999363.2</v>
      </c>
      <c r="Q361" s="8">
        <v>0</v>
      </c>
      <c r="R361" s="8">
        <v>0</v>
      </c>
      <c r="S361" s="8">
        <v>0</v>
      </c>
      <c r="T361" s="8">
        <v>0</v>
      </c>
      <c r="U361" s="8">
        <v>0</v>
      </c>
      <c r="V361" s="8">
        <v>0</v>
      </c>
      <c r="W361" s="8">
        <v>0</v>
      </c>
      <c r="X361" s="8">
        <v>0</v>
      </c>
      <c r="Y361" s="8">
        <v>0</v>
      </c>
      <c r="Z361" s="1">
        <v>313245.59999999998</v>
      </c>
      <c r="AA361" s="8">
        <v>0</v>
      </c>
    </row>
    <row r="362" spans="1:27" s="74" customFormat="1" ht="36.75" customHeight="1">
      <c r="A362" s="76">
        <v>59</v>
      </c>
      <c r="B362" s="121" t="s">
        <v>329</v>
      </c>
      <c r="C362" s="8">
        <f t="shared" si="160"/>
        <v>12526552.180000002</v>
      </c>
      <c r="D362" s="8">
        <f t="shared" si="159"/>
        <v>0</v>
      </c>
      <c r="E362" s="8">
        <v>0</v>
      </c>
      <c r="F362" s="8">
        <v>0</v>
      </c>
      <c r="G362" s="8">
        <v>0</v>
      </c>
      <c r="H362" s="8">
        <v>0</v>
      </c>
      <c r="I362" s="8">
        <v>0</v>
      </c>
      <c r="J362" s="8">
        <v>0</v>
      </c>
      <c r="K362" s="8">
        <v>0</v>
      </c>
      <c r="L362" s="8">
        <v>0</v>
      </c>
      <c r="M362" s="8">
        <v>0</v>
      </c>
      <c r="N362" s="8">
        <v>0</v>
      </c>
      <c r="O362" s="3">
        <v>1323.4</v>
      </c>
      <c r="P362" s="8">
        <v>11616688.210000001</v>
      </c>
      <c r="Q362" s="8">
        <v>0</v>
      </c>
      <c r="R362" s="8">
        <v>0</v>
      </c>
      <c r="S362" s="8">
        <v>0</v>
      </c>
      <c r="T362" s="8">
        <v>0</v>
      </c>
      <c r="U362" s="8">
        <v>0</v>
      </c>
      <c r="V362" s="8">
        <v>0</v>
      </c>
      <c r="W362" s="8">
        <v>0</v>
      </c>
      <c r="X362" s="8">
        <v>0</v>
      </c>
      <c r="Y362" s="8">
        <v>0</v>
      </c>
      <c r="Z362" s="1">
        <v>909863.97</v>
      </c>
      <c r="AA362" s="8">
        <v>0</v>
      </c>
    </row>
    <row r="363" spans="1:27" s="75" customFormat="1" ht="42" customHeight="1">
      <c r="A363" s="158" t="s">
        <v>200</v>
      </c>
      <c r="B363" s="160"/>
      <c r="C363" s="1">
        <f>C364</f>
        <v>7539418.9300000006</v>
      </c>
      <c r="D363" s="1">
        <f t="shared" ref="D363:AA363" si="161">D364</f>
        <v>0</v>
      </c>
      <c r="E363" s="1">
        <f t="shared" si="161"/>
        <v>0</v>
      </c>
      <c r="F363" s="1">
        <f t="shared" si="161"/>
        <v>0</v>
      </c>
      <c r="G363" s="1">
        <f t="shared" si="161"/>
        <v>0</v>
      </c>
      <c r="H363" s="1">
        <f t="shared" si="161"/>
        <v>0</v>
      </c>
      <c r="I363" s="1">
        <f t="shared" si="161"/>
        <v>0</v>
      </c>
      <c r="J363" s="1">
        <f t="shared" si="161"/>
        <v>0</v>
      </c>
      <c r="K363" s="1">
        <f t="shared" si="161"/>
        <v>0</v>
      </c>
      <c r="L363" s="1">
        <f t="shared" si="161"/>
        <v>0</v>
      </c>
      <c r="M363" s="1">
        <f t="shared" si="161"/>
        <v>0</v>
      </c>
      <c r="N363" s="1">
        <f t="shared" si="161"/>
        <v>0</v>
      </c>
      <c r="O363" s="1">
        <f t="shared" si="161"/>
        <v>493</v>
      </c>
      <c r="P363" s="1">
        <f t="shared" si="161"/>
        <v>6991794.5300000003</v>
      </c>
      <c r="Q363" s="1">
        <f t="shared" si="161"/>
        <v>0</v>
      </c>
      <c r="R363" s="1">
        <f t="shared" si="161"/>
        <v>0</v>
      </c>
      <c r="S363" s="1">
        <f t="shared" si="161"/>
        <v>0</v>
      </c>
      <c r="T363" s="1">
        <f t="shared" si="161"/>
        <v>0</v>
      </c>
      <c r="U363" s="1">
        <f t="shared" si="161"/>
        <v>0</v>
      </c>
      <c r="V363" s="1">
        <f t="shared" si="161"/>
        <v>0</v>
      </c>
      <c r="W363" s="1">
        <f t="shared" si="161"/>
        <v>0</v>
      </c>
      <c r="X363" s="1">
        <f t="shared" si="161"/>
        <v>0</v>
      </c>
      <c r="Y363" s="1">
        <f t="shared" si="161"/>
        <v>0</v>
      </c>
      <c r="Z363" s="1">
        <f t="shared" si="161"/>
        <v>547624.4</v>
      </c>
      <c r="AA363" s="1">
        <f t="shared" si="161"/>
        <v>0</v>
      </c>
    </row>
    <row r="364" spans="1:27" s="75" customFormat="1" ht="37.5" customHeight="1">
      <c r="A364" s="76">
        <v>60</v>
      </c>
      <c r="B364" s="121" t="s">
        <v>549</v>
      </c>
      <c r="C364" s="8">
        <f t="shared" si="160"/>
        <v>7539418.9300000006</v>
      </c>
      <c r="D364" s="1">
        <f>E364+F364+G364+H364+I364+J364</f>
        <v>0</v>
      </c>
      <c r="E364" s="8">
        <v>0</v>
      </c>
      <c r="F364" s="8">
        <v>0</v>
      </c>
      <c r="G364" s="8">
        <v>0</v>
      </c>
      <c r="H364" s="8">
        <v>0</v>
      </c>
      <c r="I364" s="8">
        <v>0</v>
      </c>
      <c r="J364" s="8">
        <v>0</v>
      </c>
      <c r="K364" s="2">
        <v>0</v>
      </c>
      <c r="L364" s="2">
        <v>0</v>
      </c>
      <c r="M364" s="2">
        <v>0</v>
      </c>
      <c r="N364" s="2">
        <v>0</v>
      </c>
      <c r="O364" s="2">
        <v>493</v>
      </c>
      <c r="P364" s="8">
        <v>6991794.5300000003</v>
      </c>
      <c r="Q364" s="3">
        <v>0</v>
      </c>
      <c r="R364" s="3">
        <v>0</v>
      </c>
      <c r="S364" s="3">
        <v>0</v>
      </c>
      <c r="T364" s="3">
        <v>0</v>
      </c>
      <c r="U364" s="3">
        <v>0</v>
      </c>
      <c r="V364" s="3">
        <v>0</v>
      </c>
      <c r="W364" s="3"/>
      <c r="X364" s="3">
        <v>0</v>
      </c>
      <c r="Y364" s="3">
        <v>0</v>
      </c>
      <c r="Z364" s="1">
        <v>547624.4</v>
      </c>
      <c r="AA364" s="2">
        <v>0</v>
      </c>
    </row>
    <row r="365" spans="1:27" s="75" customFormat="1" ht="36.75" customHeight="1">
      <c r="A365" s="158" t="s">
        <v>280</v>
      </c>
      <c r="B365" s="160"/>
      <c r="C365" s="8">
        <f>SUM(C366:C368)</f>
        <v>22744296.280000001</v>
      </c>
      <c r="D365" s="8">
        <f t="shared" ref="D365:AA365" si="162">SUM(D366:D368)</f>
        <v>0</v>
      </c>
      <c r="E365" s="8">
        <f t="shared" si="162"/>
        <v>0</v>
      </c>
      <c r="F365" s="8">
        <f t="shared" si="162"/>
        <v>0</v>
      </c>
      <c r="G365" s="8">
        <f t="shared" si="162"/>
        <v>0</v>
      </c>
      <c r="H365" s="8">
        <f t="shared" si="162"/>
        <v>0</v>
      </c>
      <c r="I365" s="8">
        <f t="shared" si="162"/>
        <v>0</v>
      </c>
      <c r="J365" s="8">
        <f t="shared" si="162"/>
        <v>0</v>
      </c>
      <c r="K365" s="8">
        <f t="shared" si="162"/>
        <v>0</v>
      </c>
      <c r="L365" s="8">
        <f t="shared" si="162"/>
        <v>0</v>
      </c>
      <c r="M365" s="8">
        <f t="shared" si="162"/>
        <v>0</v>
      </c>
      <c r="N365" s="8">
        <f t="shared" si="162"/>
        <v>0</v>
      </c>
      <c r="O365" s="8">
        <f t="shared" si="162"/>
        <v>2402.88</v>
      </c>
      <c r="P365" s="8">
        <f t="shared" si="162"/>
        <v>21092268.219999999</v>
      </c>
      <c r="Q365" s="8">
        <f t="shared" si="162"/>
        <v>0</v>
      </c>
      <c r="R365" s="8">
        <f t="shared" si="162"/>
        <v>0</v>
      </c>
      <c r="S365" s="8">
        <f t="shared" si="162"/>
        <v>0</v>
      </c>
      <c r="T365" s="8">
        <f t="shared" si="162"/>
        <v>0</v>
      </c>
      <c r="U365" s="8">
        <f t="shared" si="162"/>
        <v>0</v>
      </c>
      <c r="V365" s="8">
        <f t="shared" si="162"/>
        <v>0</v>
      </c>
      <c r="W365" s="8">
        <f t="shared" si="162"/>
        <v>0</v>
      </c>
      <c r="X365" s="8">
        <f t="shared" si="162"/>
        <v>0</v>
      </c>
      <c r="Y365" s="8">
        <f t="shared" si="162"/>
        <v>0</v>
      </c>
      <c r="Z365" s="8">
        <f t="shared" si="162"/>
        <v>1652028.06</v>
      </c>
      <c r="AA365" s="8">
        <f t="shared" si="162"/>
        <v>0</v>
      </c>
    </row>
    <row r="366" spans="1:27" ht="34.5" customHeight="1">
      <c r="A366" s="76">
        <v>61</v>
      </c>
      <c r="B366" s="14" t="s">
        <v>740</v>
      </c>
      <c r="C366" s="8">
        <v>6441226.2000000002</v>
      </c>
      <c r="D366" s="8">
        <f t="shared" ref="D366:D368" si="163">E366+F366+G366+H366+I366+J366</f>
        <v>0</v>
      </c>
      <c r="E366" s="8">
        <v>0</v>
      </c>
      <c r="F366" s="8">
        <v>0</v>
      </c>
      <c r="G366" s="8">
        <v>0</v>
      </c>
      <c r="H366" s="8">
        <v>0</v>
      </c>
      <c r="I366" s="8">
        <v>0</v>
      </c>
      <c r="J366" s="8">
        <v>0</v>
      </c>
      <c r="K366" s="8">
        <v>0</v>
      </c>
      <c r="L366" s="8">
        <v>0</v>
      </c>
      <c r="M366" s="8">
        <v>0</v>
      </c>
      <c r="N366" s="8">
        <v>0</v>
      </c>
      <c r="O366" s="2">
        <v>680.5</v>
      </c>
      <c r="P366" s="8">
        <v>5973368.8399999999</v>
      </c>
      <c r="Q366" s="8">
        <v>0</v>
      </c>
      <c r="R366" s="8">
        <v>0</v>
      </c>
      <c r="S366" s="8">
        <v>0</v>
      </c>
      <c r="T366" s="8">
        <v>0</v>
      </c>
      <c r="U366" s="8">
        <v>0</v>
      </c>
      <c r="V366" s="8">
        <v>0</v>
      </c>
      <c r="W366" s="8">
        <v>0</v>
      </c>
      <c r="X366" s="8">
        <v>0</v>
      </c>
      <c r="Y366" s="8">
        <v>0</v>
      </c>
      <c r="Z366" s="8">
        <v>467857.36</v>
      </c>
      <c r="AA366" s="8">
        <v>0</v>
      </c>
    </row>
    <row r="367" spans="1:27" ht="33.75" customHeight="1">
      <c r="A367" s="76">
        <v>62</v>
      </c>
      <c r="B367" s="20" t="s">
        <v>741</v>
      </c>
      <c r="C367" s="8">
        <v>12380784.529999999</v>
      </c>
      <c r="D367" s="8">
        <f t="shared" si="163"/>
        <v>0</v>
      </c>
      <c r="E367" s="8">
        <v>0</v>
      </c>
      <c r="F367" s="8">
        <v>0</v>
      </c>
      <c r="G367" s="8">
        <v>0</v>
      </c>
      <c r="H367" s="8">
        <v>0</v>
      </c>
      <c r="I367" s="8">
        <v>0</v>
      </c>
      <c r="J367" s="8">
        <v>0</v>
      </c>
      <c r="K367" s="8">
        <v>0</v>
      </c>
      <c r="L367" s="8">
        <v>0</v>
      </c>
      <c r="M367" s="8">
        <v>0</v>
      </c>
      <c r="N367" s="8">
        <v>0</v>
      </c>
      <c r="O367" s="8">
        <v>1308</v>
      </c>
      <c r="P367" s="8">
        <v>11481508.369999999</v>
      </c>
      <c r="Q367" s="8">
        <v>0</v>
      </c>
      <c r="R367" s="8">
        <v>0</v>
      </c>
      <c r="S367" s="8">
        <v>0</v>
      </c>
      <c r="T367" s="8">
        <v>0</v>
      </c>
      <c r="U367" s="8">
        <v>0</v>
      </c>
      <c r="V367" s="8">
        <v>0</v>
      </c>
      <c r="W367" s="8">
        <v>0</v>
      </c>
      <c r="X367" s="8">
        <v>0</v>
      </c>
      <c r="Y367" s="8">
        <v>0</v>
      </c>
      <c r="Z367" s="8">
        <v>899276.16</v>
      </c>
      <c r="AA367" s="8">
        <v>0</v>
      </c>
    </row>
    <row r="368" spans="1:27" ht="39" customHeight="1">
      <c r="A368" s="76">
        <v>63</v>
      </c>
      <c r="B368" s="20" t="s">
        <v>742</v>
      </c>
      <c r="C368" s="8">
        <f>P368+Z368</f>
        <v>3922285.55</v>
      </c>
      <c r="D368" s="8">
        <f t="shared" si="163"/>
        <v>0</v>
      </c>
      <c r="E368" s="8">
        <v>0</v>
      </c>
      <c r="F368" s="8">
        <v>0</v>
      </c>
      <c r="G368" s="8">
        <v>0</v>
      </c>
      <c r="H368" s="8">
        <v>0</v>
      </c>
      <c r="I368" s="8">
        <v>0</v>
      </c>
      <c r="J368" s="8">
        <v>0</v>
      </c>
      <c r="K368" s="8">
        <v>0</v>
      </c>
      <c r="L368" s="8">
        <v>0</v>
      </c>
      <c r="M368" s="8">
        <v>0</v>
      </c>
      <c r="N368" s="8">
        <v>0</v>
      </c>
      <c r="O368" s="128">
        <v>414.38</v>
      </c>
      <c r="P368" s="8">
        <v>3637391.01</v>
      </c>
      <c r="Q368" s="8">
        <v>0</v>
      </c>
      <c r="R368" s="8">
        <v>0</v>
      </c>
      <c r="S368" s="8">
        <v>0</v>
      </c>
      <c r="T368" s="8">
        <v>0</v>
      </c>
      <c r="U368" s="8">
        <v>0</v>
      </c>
      <c r="V368" s="8">
        <v>0</v>
      </c>
      <c r="W368" s="8">
        <v>0</v>
      </c>
      <c r="X368" s="8">
        <v>0</v>
      </c>
      <c r="Y368" s="8">
        <v>0</v>
      </c>
      <c r="Z368" s="8">
        <v>284894.53999999998</v>
      </c>
      <c r="AA368" s="8">
        <v>0</v>
      </c>
    </row>
    <row r="369" spans="1:27" s="75" customFormat="1" ht="40.5" customHeight="1">
      <c r="A369" s="158" t="s">
        <v>138</v>
      </c>
      <c r="B369" s="160"/>
      <c r="C369" s="1">
        <f>SUM(C370)</f>
        <v>11699098.34</v>
      </c>
      <c r="D369" s="1">
        <f t="shared" ref="D369:AA369" si="164">SUM(D370)</f>
        <v>0</v>
      </c>
      <c r="E369" s="1">
        <f t="shared" si="164"/>
        <v>0</v>
      </c>
      <c r="F369" s="1">
        <f t="shared" si="164"/>
        <v>0</v>
      </c>
      <c r="G369" s="1">
        <f t="shared" si="164"/>
        <v>0</v>
      </c>
      <c r="H369" s="1">
        <f t="shared" si="164"/>
        <v>0</v>
      </c>
      <c r="I369" s="1">
        <f t="shared" si="164"/>
        <v>0</v>
      </c>
      <c r="J369" s="1">
        <f t="shared" si="164"/>
        <v>0</v>
      </c>
      <c r="K369" s="1">
        <f t="shared" si="164"/>
        <v>0</v>
      </c>
      <c r="L369" s="1">
        <f t="shared" si="164"/>
        <v>0</v>
      </c>
      <c r="M369" s="1">
        <f t="shared" si="164"/>
        <v>0</v>
      </c>
      <c r="N369" s="1">
        <f t="shared" si="164"/>
        <v>0</v>
      </c>
      <c r="O369" s="1">
        <f t="shared" si="164"/>
        <v>765</v>
      </c>
      <c r="P369" s="1">
        <f t="shared" si="164"/>
        <v>10849336.34</v>
      </c>
      <c r="Q369" s="1">
        <f t="shared" si="164"/>
        <v>0</v>
      </c>
      <c r="R369" s="1">
        <f t="shared" si="164"/>
        <v>0</v>
      </c>
      <c r="S369" s="1">
        <f t="shared" si="164"/>
        <v>0</v>
      </c>
      <c r="T369" s="1">
        <f t="shared" si="164"/>
        <v>0</v>
      </c>
      <c r="U369" s="1">
        <f t="shared" si="164"/>
        <v>0</v>
      </c>
      <c r="V369" s="1">
        <f t="shared" si="164"/>
        <v>0</v>
      </c>
      <c r="W369" s="1">
        <f t="shared" si="164"/>
        <v>0</v>
      </c>
      <c r="X369" s="1">
        <f t="shared" si="164"/>
        <v>0</v>
      </c>
      <c r="Y369" s="1">
        <f t="shared" si="164"/>
        <v>0</v>
      </c>
      <c r="Z369" s="1">
        <f t="shared" si="164"/>
        <v>849762</v>
      </c>
      <c r="AA369" s="1">
        <f t="shared" si="164"/>
        <v>0</v>
      </c>
    </row>
    <row r="370" spans="1:27" s="75" customFormat="1" ht="34.5" customHeight="1">
      <c r="A370" s="76">
        <v>64</v>
      </c>
      <c r="B370" s="121" t="s">
        <v>550</v>
      </c>
      <c r="C370" s="1">
        <f>D370+L370+N370+P370+R370+T370+V370+X370+Y370+Z370+AA370</f>
        <v>11699098.34</v>
      </c>
      <c r="D370" s="1">
        <f>E370+F370+G370+H370+I370</f>
        <v>0</v>
      </c>
      <c r="E370" s="2">
        <v>0</v>
      </c>
      <c r="F370" s="2">
        <v>0</v>
      </c>
      <c r="G370" s="2">
        <v>0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3">
        <v>765</v>
      </c>
      <c r="P370" s="8">
        <v>10849336.34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1">
        <v>849762</v>
      </c>
      <c r="AA370" s="2">
        <v>0</v>
      </c>
    </row>
    <row r="371" spans="1:27" s="75" customFormat="1" ht="39.75" customHeight="1">
      <c r="A371" s="158" t="s">
        <v>326</v>
      </c>
      <c r="B371" s="160"/>
      <c r="C371" s="1">
        <f>SUM(C372:C379)</f>
        <v>73228121.070000008</v>
      </c>
      <c r="D371" s="1">
        <f t="shared" ref="D371:AA371" si="165">SUM(D372:D379)</f>
        <v>5476638.5300000003</v>
      </c>
      <c r="E371" s="1">
        <f t="shared" si="165"/>
        <v>5476638.5300000003</v>
      </c>
      <c r="F371" s="1">
        <f t="shared" si="165"/>
        <v>0</v>
      </c>
      <c r="G371" s="1">
        <f t="shared" si="165"/>
        <v>0</v>
      </c>
      <c r="H371" s="1">
        <f t="shared" si="165"/>
        <v>0</v>
      </c>
      <c r="I371" s="1">
        <f t="shared" si="165"/>
        <v>0</v>
      </c>
      <c r="J371" s="1">
        <f t="shared" si="165"/>
        <v>0</v>
      </c>
      <c r="K371" s="1">
        <f t="shared" si="165"/>
        <v>0</v>
      </c>
      <c r="L371" s="1">
        <f t="shared" si="165"/>
        <v>0</v>
      </c>
      <c r="M371" s="1">
        <f t="shared" si="165"/>
        <v>0</v>
      </c>
      <c r="N371" s="1">
        <f t="shared" si="165"/>
        <v>0</v>
      </c>
      <c r="O371" s="1">
        <f t="shared" si="165"/>
        <v>5658.7</v>
      </c>
      <c r="P371" s="1">
        <f t="shared" si="165"/>
        <v>62432570.529999994</v>
      </c>
      <c r="Q371" s="1">
        <f t="shared" si="165"/>
        <v>0</v>
      </c>
      <c r="R371" s="1">
        <f t="shared" si="165"/>
        <v>0</v>
      </c>
      <c r="S371" s="1">
        <f t="shared" si="165"/>
        <v>0</v>
      </c>
      <c r="T371" s="1">
        <f t="shared" si="165"/>
        <v>0</v>
      </c>
      <c r="U371" s="1">
        <f t="shared" si="165"/>
        <v>0</v>
      </c>
      <c r="V371" s="1">
        <f t="shared" si="165"/>
        <v>0</v>
      </c>
      <c r="W371" s="1">
        <f t="shared" si="165"/>
        <v>0</v>
      </c>
      <c r="X371" s="1">
        <f t="shared" si="165"/>
        <v>0</v>
      </c>
      <c r="Y371" s="1">
        <f t="shared" si="165"/>
        <v>0</v>
      </c>
      <c r="Z371" s="1">
        <f t="shared" si="165"/>
        <v>5318912.01</v>
      </c>
      <c r="AA371" s="1">
        <f t="shared" si="165"/>
        <v>0</v>
      </c>
    </row>
    <row r="372" spans="1:27" s="75" customFormat="1" ht="31.5" customHeight="1">
      <c r="A372" s="76">
        <v>65</v>
      </c>
      <c r="B372" s="121" t="s">
        <v>743</v>
      </c>
      <c r="C372" s="8">
        <f t="shared" ref="C372:C379" si="166">D372+L372+N372+P372+R372+T372+V372+X372+Y372+Z372+AA372</f>
        <v>12066128.869999999</v>
      </c>
      <c r="D372" s="1">
        <f>E372+F372+G372+H372+I372+J372</f>
        <v>0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3">
        <v>789</v>
      </c>
      <c r="P372" s="8">
        <v>11189707.67</v>
      </c>
      <c r="Q372" s="2">
        <v>0</v>
      </c>
      <c r="R372" s="2">
        <v>0</v>
      </c>
      <c r="S372" s="2">
        <v>0</v>
      </c>
      <c r="T372" s="2">
        <v>0</v>
      </c>
      <c r="U372" s="2">
        <v>0</v>
      </c>
      <c r="V372" s="2">
        <v>0</v>
      </c>
      <c r="W372" s="2">
        <v>0</v>
      </c>
      <c r="X372" s="2">
        <v>0</v>
      </c>
      <c r="Y372" s="2">
        <v>0</v>
      </c>
      <c r="Z372" s="8">
        <v>876421.2</v>
      </c>
      <c r="AA372" s="2">
        <v>0</v>
      </c>
    </row>
    <row r="373" spans="1:27" s="75" customFormat="1" ht="33.75" customHeight="1">
      <c r="A373" s="76">
        <v>66</v>
      </c>
      <c r="B373" s="121" t="s">
        <v>744</v>
      </c>
      <c r="C373" s="8">
        <f t="shared" si="166"/>
        <v>12081676.899999999</v>
      </c>
      <c r="D373" s="1">
        <f t="shared" ref="D373:D379" si="167">E373+F373+G373+H373+I373+J373</f>
        <v>0</v>
      </c>
      <c r="E373" s="2">
        <v>0</v>
      </c>
      <c r="F373" s="2">
        <v>0</v>
      </c>
      <c r="G373" s="2">
        <v>0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3">
        <v>1276.4000000000001</v>
      </c>
      <c r="P373" s="8">
        <v>11204126.369999999</v>
      </c>
      <c r="Q373" s="2">
        <v>0</v>
      </c>
      <c r="R373" s="2">
        <v>0</v>
      </c>
      <c r="S373" s="2">
        <v>0</v>
      </c>
      <c r="T373" s="2">
        <v>0</v>
      </c>
      <c r="U373" s="2">
        <v>0</v>
      </c>
      <c r="V373" s="2">
        <v>0</v>
      </c>
      <c r="W373" s="2">
        <v>0</v>
      </c>
      <c r="X373" s="2">
        <v>0</v>
      </c>
      <c r="Y373" s="2">
        <v>0</v>
      </c>
      <c r="Z373" s="8">
        <v>877550.53</v>
      </c>
      <c r="AA373" s="2">
        <v>0</v>
      </c>
    </row>
    <row r="374" spans="1:27" s="75" customFormat="1" ht="27.75" customHeight="1">
      <c r="A374" s="76">
        <v>67</v>
      </c>
      <c r="B374" s="121" t="s">
        <v>745</v>
      </c>
      <c r="C374" s="8">
        <f t="shared" si="166"/>
        <v>11131347.559999999</v>
      </c>
      <c r="D374" s="1">
        <f t="shared" si="167"/>
        <v>0</v>
      </c>
      <c r="E374" s="2">
        <v>0</v>
      </c>
      <c r="F374" s="2">
        <v>0</v>
      </c>
      <c r="G374" s="2">
        <v>0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3">
        <v>1176</v>
      </c>
      <c r="P374" s="8">
        <v>10322824.039999999</v>
      </c>
      <c r="Q374" s="2">
        <v>0</v>
      </c>
      <c r="R374" s="2">
        <v>0</v>
      </c>
      <c r="S374" s="2">
        <v>0</v>
      </c>
      <c r="T374" s="2">
        <v>0</v>
      </c>
      <c r="U374" s="2">
        <v>0</v>
      </c>
      <c r="V374" s="2">
        <v>0</v>
      </c>
      <c r="W374" s="2">
        <v>0</v>
      </c>
      <c r="X374" s="2">
        <v>0</v>
      </c>
      <c r="Y374" s="2">
        <v>0</v>
      </c>
      <c r="Z374" s="8">
        <v>808523.52</v>
      </c>
      <c r="AA374" s="2">
        <v>0</v>
      </c>
    </row>
    <row r="375" spans="1:27" s="75" customFormat="1" ht="30" customHeight="1">
      <c r="A375" s="76">
        <v>68</v>
      </c>
      <c r="B375" s="121" t="s">
        <v>746</v>
      </c>
      <c r="C375" s="8">
        <f t="shared" si="166"/>
        <v>8186310.25</v>
      </c>
      <c r="D375" s="1">
        <f t="shared" si="167"/>
        <v>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3">
        <v>535.29999999999995</v>
      </c>
      <c r="P375" s="8">
        <v>7591699.0099999998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  <c r="V375" s="2">
        <v>0</v>
      </c>
      <c r="W375" s="2">
        <v>0</v>
      </c>
      <c r="X375" s="2">
        <v>0</v>
      </c>
      <c r="Y375" s="2">
        <v>0</v>
      </c>
      <c r="Z375" s="8">
        <v>594611.24</v>
      </c>
      <c r="AA375" s="2">
        <v>0</v>
      </c>
    </row>
    <row r="376" spans="1:27" s="75" customFormat="1" ht="31.5" customHeight="1">
      <c r="A376" s="76">
        <v>69</v>
      </c>
      <c r="B376" s="121" t="s">
        <v>747</v>
      </c>
      <c r="C376" s="8">
        <f t="shared" si="166"/>
        <v>9481622.1799999997</v>
      </c>
      <c r="D376" s="1">
        <f t="shared" si="167"/>
        <v>0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3">
        <v>620</v>
      </c>
      <c r="P376" s="8">
        <v>8792926.1799999997</v>
      </c>
      <c r="Q376" s="2">
        <v>0</v>
      </c>
      <c r="R376" s="2">
        <v>0</v>
      </c>
      <c r="S376" s="2">
        <v>0</v>
      </c>
      <c r="T376" s="2">
        <v>0</v>
      </c>
      <c r="U376" s="2">
        <v>0</v>
      </c>
      <c r="V376" s="2">
        <v>0</v>
      </c>
      <c r="W376" s="2">
        <v>0</v>
      </c>
      <c r="X376" s="2">
        <v>0</v>
      </c>
      <c r="Y376" s="2">
        <v>0</v>
      </c>
      <c r="Z376" s="8">
        <v>688696</v>
      </c>
      <c r="AA376" s="2">
        <v>0</v>
      </c>
    </row>
    <row r="377" spans="1:27" s="75" customFormat="1" ht="34.5" customHeight="1">
      <c r="A377" s="76">
        <v>70</v>
      </c>
      <c r="B377" s="121" t="s">
        <v>748</v>
      </c>
      <c r="C377" s="8">
        <f t="shared" si="166"/>
        <v>7998289.7000000002</v>
      </c>
      <c r="D377" s="1">
        <f t="shared" si="167"/>
        <v>0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3">
        <v>845</v>
      </c>
      <c r="P377" s="8">
        <v>7417335.2999999998</v>
      </c>
      <c r="Q377" s="2">
        <v>0</v>
      </c>
      <c r="R377" s="2">
        <v>0</v>
      </c>
      <c r="S377" s="2">
        <v>0</v>
      </c>
      <c r="T377" s="2">
        <v>0</v>
      </c>
      <c r="U377" s="2">
        <v>0</v>
      </c>
      <c r="V377" s="2">
        <v>0</v>
      </c>
      <c r="W377" s="2">
        <v>0</v>
      </c>
      <c r="X377" s="2">
        <v>0</v>
      </c>
      <c r="Y377" s="2">
        <v>0</v>
      </c>
      <c r="Z377" s="8">
        <v>580954.4</v>
      </c>
      <c r="AA377" s="2">
        <v>0</v>
      </c>
    </row>
    <row r="378" spans="1:27" s="75" customFormat="1" ht="31.5" customHeight="1">
      <c r="A378" s="76">
        <v>71</v>
      </c>
      <c r="B378" s="121" t="s">
        <v>749</v>
      </c>
      <c r="C378" s="8">
        <f t="shared" si="166"/>
        <v>5905590.0500000007</v>
      </c>
      <c r="D378" s="1">
        <f t="shared" si="167"/>
        <v>5476638.5300000003</v>
      </c>
      <c r="E378" s="8">
        <v>5476638.5300000003</v>
      </c>
      <c r="F378" s="2">
        <v>0</v>
      </c>
      <c r="G378" s="2">
        <v>0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>
        <v>0</v>
      </c>
      <c r="V378" s="2">
        <v>0</v>
      </c>
      <c r="W378" s="2">
        <v>0</v>
      </c>
      <c r="X378" s="2">
        <v>0</v>
      </c>
      <c r="Y378" s="2">
        <v>0</v>
      </c>
      <c r="Z378" s="8">
        <v>428951.52</v>
      </c>
      <c r="AA378" s="2">
        <v>0</v>
      </c>
    </row>
    <row r="379" spans="1:27" s="75" customFormat="1" ht="32.25" customHeight="1">
      <c r="A379" s="76">
        <v>72</v>
      </c>
      <c r="B379" s="121" t="s">
        <v>750</v>
      </c>
      <c r="C379" s="8">
        <f t="shared" si="166"/>
        <v>6377155.5599999996</v>
      </c>
      <c r="D379" s="1">
        <f t="shared" si="167"/>
        <v>0</v>
      </c>
      <c r="E379" s="2">
        <v>0</v>
      </c>
      <c r="F379" s="2">
        <v>0</v>
      </c>
      <c r="G379" s="2">
        <v>0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3">
        <v>417</v>
      </c>
      <c r="P379" s="8">
        <v>5913951.96</v>
      </c>
      <c r="Q379" s="2">
        <v>0</v>
      </c>
      <c r="R379" s="2">
        <v>0</v>
      </c>
      <c r="S379" s="2">
        <v>0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8">
        <v>463203.6</v>
      </c>
      <c r="AA379" s="2">
        <v>0</v>
      </c>
    </row>
    <row r="380" spans="1:27" ht="40.5" customHeight="1">
      <c r="A380" s="158" t="s">
        <v>141</v>
      </c>
      <c r="B380" s="160"/>
      <c r="C380" s="1">
        <f>C381</f>
        <v>10942862.5</v>
      </c>
      <c r="D380" s="1">
        <f t="shared" ref="D380:AA380" si="168">D381</f>
        <v>0</v>
      </c>
      <c r="E380" s="1">
        <f t="shared" si="168"/>
        <v>0</v>
      </c>
      <c r="F380" s="1">
        <f t="shared" si="168"/>
        <v>0</v>
      </c>
      <c r="G380" s="1">
        <f t="shared" si="168"/>
        <v>0</v>
      </c>
      <c r="H380" s="1">
        <f t="shared" si="168"/>
        <v>0</v>
      </c>
      <c r="I380" s="1">
        <f t="shared" si="168"/>
        <v>0</v>
      </c>
      <c r="J380" s="1">
        <f t="shared" si="168"/>
        <v>0</v>
      </c>
      <c r="K380" s="1">
        <f t="shared" si="168"/>
        <v>0</v>
      </c>
      <c r="L380" s="1">
        <f t="shared" si="168"/>
        <v>0</v>
      </c>
      <c r="M380" s="1">
        <f t="shared" si="168"/>
        <v>0</v>
      </c>
      <c r="N380" s="1">
        <f t="shared" si="168"/>
        <v>0</v>
      </c>
      <c r="O380" s="1">
        <f t="shared" si="168"/>
        <v>715.55</v>
      </c>
      <c r="P380" s="1">
        <f t="shared" si="168"/>
        <v>10148029.560000001</v>
      </c>
      <c r="Q380" s="1">
        <f t="shared" si="168"/>
        <v>0</v>
      </c>
      <c r="R380" s="1">
        <f t="shared" si="168"/>
        <v>0</v>
      </c>
      <c r="S380" s="1">
        <f t="shared" si="168"/>
        <v>0</v>
      </c>
      <c r="T380" s="1">
        <f t="shared" si="168"/>
        <v>0</v>
      </c>
      <c r="U380" s="1">
        <f t="shared" si="168"/>
        <v>0</v>
      </c>
      <c r="V380" s="1">
        <f t="shared" si="168"/>
        <v>0</v>
      </c>
      <c r="W380" s="1">
        <f t="shared" si="168"/>
        <v>0</v>
      </c>
      <c r="X380" s="1">
        <f t="shared" si="168"/>
        <v>0</v>
      </c>
      <c r="Y380" s="1">
        <f t="shared" si="168"/>
        <v>0</v>
      </c>
      <c r="Z380" s="1">
        <f t="shared" si="168"/>
        <v>794832.94</v>
      </c>
      <c r="AA380" s="1">
        <f t="shared" si="168"/>
        <v>0</v>
      </c>
    </row>
    <row r="381" spans="1:27" s="75" customFormat="1" ht="31.5" customHeight="1">
      <c r="A381" s="76">
        <v>73</v>
      </c>
      <c r="B381" s="121" t="s">
        <v>514</v>
      </c>
      <c r="C381" s="1">
        <f>D381+L381+N381+P381+R381+T381+V381+X381+Y381+Z381+AA381</f>
        <v>10942862.5</v>
      </c>
      <c r="D381" s="1">
        <f>SUM(E381:J381)</f>
        <v>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3">
        <v>715.55</v>
      </c>
      <c r="P381" s="8">
        <v>10148029.560000001</v>
      </c>
      <c r="Q381" s="3">
        <v>0</v>
      </c>
      <c r="R381" s="3">
        <v>0</v>
      </c>
      <c r="S381" s="3">
        <v>0</v>
      </c>
      <c r="T381" s="3">
        <v>0</v>
      </c>
      <c r="U381" s="3">
        <v>0</v>
      </c>
      <c r="V381" s="3">
        <v>0</v>
      </c>
      <c r="W381" s="3">
        <v>0</v>
      </c>
      <c r="X381" s="3">
        <v>0</v>
      </c>
      <c r="Y381" s="3">
        <v>0</v>
      </c>
      <c r="Z381" s="1">
        <v>794832.94</v>
      </c>
      <c r="AA381" s="2">
        <v>0</v>
      </c>
    </row>
    <row r="382" spans="1:27" s="75" customFormat="1" ht="37.5" customHeight="1">
      <c r="A382" s="158" t="s">
        <v>318</v>
      </c>
      <c r="B382" s="160"/>
      <c r="C382" s="1">
        <f>SUM(C383:C384)</f>
        <v>22852544.609999999</v>
      </c>
      <c r="D382" s="1">
        <f t="shared" ref="D382:AA382" si="169">SUM(D383:D384)</f>
        <v>0</v>
      </c>
      <c r="E382" s="1">
        <f t="shared" si="169"/>
        <v>0</v>
      </c>
      <c r="F382" s="1">
        <f t="shared" si="169"/>
        <v>0</v>
      </c>
      <c r="G382" s="1">
        <f t="shared" si="169"/>
        <v>0</v>
      </c>
      <c r="H382" s="1">
        <f t="shared" si="169"/>
        <v>0</v>
      </c>
      <c r="I382" s="1">
        <f t="shared" si="169"/>
        <v>0</v>
      </c>
      <c r="J382" s="1">
        <f t="shared" si="169"/>
        <v>0</v>
      </c>
      <c r="K382" s="1">
        <f t="shared" si="169"/>
        <v>0</v>
      </c>
      <c r="L382" s="1">
        <f t="shared" si="169"/>
        <v>0</v>
      </c>
      <c r="M382" s="1">
        <f t="shared" si="169"/>
        <v>0</v>
      </c>
      <c r="N382" s="1">
        <f t="shared" si="169"/>
        <v>0</v>
      </c>
      <c r="O382" s="1">
        <f t="shared" si="169"/>
        <v>1494.3200000000002</v>
      </c>
      <c r="P382" s="1">
        <f t="shared" si="169"/>
        <v>21192653.949999999</v>
      </c>
      <c r="Q382" s="1">
        <f t="shared" si="169"/>
        <v>0</v>
      </c>
      <c r="R382" s="1">
        <f t="shared" si="169"/>
        <v>0</v>
      </c>
      <c r="S382" s="1">
        <f t="shared" si="169"/>
        <v>0</v>
      </c>
      <c r="T382" s="1">
        <f t="shared" si="169"/>
        <v>0</v>
      </c>
      <c r="U382" s="1">
        <f t="shared" si="169"/>
        <v>0</v>
      </c>
      <c r="V382" s="1">
        <f t="shared" si="169"/>
        <v>0</v>
      </c>
      <c r="W382" s="1">
        <f t="shared" si="169"/>
        <v>0</v>
      </c>
      <c r="X382" s="1">
        <f t="shared" si="169"/>
        <v>0</v>
      </c>
      <c r="Y382" s="1">
        <f t="shared" si="169"/>
        <v>0</v>
      </c>
      <c r="Z382" s="1">
        <f t="shared" si="169"/>
        <v>1659890.6600000001</v>
      </c>
      <c r="AA382" s="1">
        <f t="shared" si="169"/>
        <v>0</v>
      </c>
    </row>
    <row r="383" spans="1:27" s="75" customFormat="1" ht="37.5" customHeight="1">
      <c r="A383" s="76">
        <v>74</v>
      </c>
      <c r="B383" s="136" t="s">
        <v>751</v>
      </c>
      <c r="C383" s="1">
        <f>D383+L383+N383+P383+R383+T383+V383+X383+Y383+Z383+AA383</f>
        <v>14176554.449999999</v>
      </c>
      <c r="D383" s="1">
        <f>E383+F383+G383+H383+I383+J383</f>
        <v>0</v>
      </c>
      <c r="E383" s="2">
        <v>0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3">
        <v>927</v>
      </c>
      <c r="P383" s="1">
        <v>13146842.85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  <c r="V383" s="2">
        <v>0</v>
      </c>
      <c r="W383" s="2">
        <v>0</v>
      </c>
      <c r="X383" s="2">
        <v>0</v>
      </c>
      <c r="Y383" s="2">
        <v>0</v>
      </c>
      <c r="Z383" s="8">
        <v>1029711.6</v>
      </c>
      <c r="AA383" s="2">
        <v>0</v>
      </c>
    </row>
    <row r="384" spans="1:27" s="75" customFormat="1" ht="33" customHeight="1">
      <c r="A384" s="76">
        <v>75</v>
      </c>
      <c r="B384" s="136" t="s">
        <v>324</v>
      </c>
      <c r="C384" s="1">
        <f t="shared" ref="C384" si="170">D384+L384+N384+P384+R384+T384+V384+X384+Y384+Z384+AA384</f>
        <v>8675990.1600000001</v>
      </c>
      <c r="D384" s="1">
        <f t="shared" ref="D384" si="171">E384+F384+G384+H384+I384+J384</f>
        <v>0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3">
        <v>567.32000000000005</v>
      </c>
      <c r="P384" s="1">
        <v>8045811.0999999996</v>
      </c>
      <c r="Q384" s="2">
        <v>0</v>
      </c>
      <c r="R384" s="2">
        <v>0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8">
        <v>630179.06000000006</v>
      </c>
      <c r="AA384" s="2">
        <v>0</v>
      </c>
    </row>
    <row r="385" spans="1:27" s="75" customFormat="1" ht="36.75" customHeight="1">
      <c r="A385" s="158" t="s">
        <v>333</v>
      </c>
      <c r="B385" s="160"/>
      <c r="C385" s="1">
        <f>SUM(C386+C387)</f>
        <v>32749963.789999999</v>
      </c>
      <c r="D385" s="1">
        <f t="shared" ref="D385:AA385" si="172">SUM(D386+D387)</f>
        <v>0</v>
      </c>
      <c r="E385" s="1">
        <f t="shared" si="172"/>
        <v>0</v>
      </c>
      <c r="F385" s="1">
        <f t="shared" si="172"/>
        <v>0</v>
      </c>
      <c r="G385" s="1">
        <f t="shared" si="172"/>
        <v>0</v>
      </c>
      <c r="H385" s="1">
        <f t="shared" si="172"/>
        <v>0</v>
      </c>
      <c r="I385" s="1">
        <f t="shared" si="172"/>
        <v>0</v>
      </c>
      <c r="J385" s="1">
        <f t="shared" si="172"/>
        <v>0</v>
      </c>
      <c r="K385" s="1">
        <f t="shared" si="172"/>
        <v>0</v>
      </c>
      <c r="L385" s="1">
        <f t="shared" si="172"/>
        <v>0</v>
      </c>
      <c r="M385" s="1">
        <f t="shared" si="172"/>
        <v>2</v>
      </c>
      <c r="N385" s="1">
        <f t="shared" si="172"/>
        <v>11849782.310000001</v>
      </c>
      <c r="O385" s="1">
        <f t="shared" si="172"/>
        <v>2110</v>
      </c>
      <c r="P385" s="1">
        <f t="shared" si="172"/>
        <v>18521393.48</v>
      </c>
      <c r="Q385" s="1">
        <f t="shared" si="172"/>
        <v>0</v>
      </c>
      <c r="R385" s="1">
        <f t="shared" si="172"/>
        <v>0</v>
      </c>
      <c r="S385" s="1">
        <f t="shared" si="172"/>
        <v>0</v>
      </c>
      <c r="T385" s="1">
        <f t="shared" si="172"/>
        <v>0</v>
      </c>
      <c r="U385" s="1">
        <f t="shared" si="172"/>
        <v>0</v>
      </c>
      <c r="V385" s="1">
        <f t="shared" si="172"/>
        <v>0</v>
      </c>
      <c r="W385" s="1">
        <f t="shared" si="172"/>
        <v>0</v>
      </c>
      <c r="X385" s="1">
        <f t="shared" si="172"/>
        <v>0</v>
      </c>
      <c r="Y385" s="1">
        <f t="shared" si="172"/>
        <v>0</v>
      </c>
      <c r="Z385" s="1">
        <f t="shared" si="172"/>
        <v>2378788</v>
      </c>
      <c r="AA385" s="1">
        <f t="shared" si="172"/>
        <v>0</v>
      </c>
    </row>
    <row r="386" spans="1:27" s="75" customFormat="1" ht="30" customHeight="1">
      <c r="A386" s="76">
        <v>76</v>
      </c>
      <c r="B386" s="113" t="s">
        <v>551</v>
      </c>
      <c r="C386" s="1">
        <f>P386+Z386</f>
        <v>19972060.68</v>
      </c>
      <c r="D386" s="1">
        <f>E386+F386+G386+H386+I386+J386</f>
        <v>0</v>
      </c>
      <c r="E386" s="2">
        <v>0</v>
      </c>
      <c r="F386" s="2">
        <v>0</v>
      </c>
      <c r="G386" s="2">
        <v>0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1">
        <v>2110</v>
      </c>
      <c r="P386" s="1">
        <v>18521393.48</v>
      </c>
      <c r="Q386" s="2">
        <v>0</v>
      </c>
      <c r="R386" s="2">
        <v>0</v>
      </c>
      <c r="S386" s="2">
        <v>0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 s="2">
        <v>0</v>
      </c>
      <c r="Z386" s="8">
        <v>1450667.2</v>
      </c>
      <c r="AA386" s="2">
        <v>0</v>
      </c>
    </row>
    <row r="387" spans="1:27" s="75" customFormat="1" ht="33" customHeight="1">
      <c r="A387" s="76">
        <v>77</v>
      </c>
      <c r="B387" s="113" t="s">
        <v>552</v>
      </c>
      <c r="C387" s="1">
        <f>N387+Z387</f>
        <v>12777903.110000001</v>
      </c>
      <c r="D387" s="1">
        <f>E387+F387+G387+H387+I387+J387</f>
        <v>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16">
        <v>2</v>
      </c>
      <c r="N387" s="1">
        <v>11849782.310000001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8">
        <v>928120.8</v>
      </c>
      <c r="AA387" s="2">
        <v>0</v>
      </c>
    </row>
    <row r="388" spans="1:27" s="75" customFormat="1" ht="37.5" customHeight="1">
      <c r="A388" s="158" t="s">
        <v>201</v>
      </c>
      <c r="B388" s="160"/>
      <c r="C388" s="1">
        <f>SUM(C389)</f>
        <v>6080687.9100000001</v>
      </c>
      <c r="D388" s="1">
        <f t="shared" ref="D388:AA388" si="173">SUM(D389)</f>
        <v>0</v>
      </c>
      <c r="E388" s="1">
        <f t="shared" si="173"/>
        <v>0</v>
      </c>
      <c r="F388" s="1">
        <f t="shared" si="173"/>
        <v>0</v>
      </c>
      <c r="G388" s="1">
        <f t="shared" si="173"/>
        <v>0</v>
      </c>
      <c r="H388" s="1">
        <f t="shared" si="173"/>
        <v>0</v>
      </c>
      <c r="I388" s="1">
        <f t="shared" si="173"/>
        <v>0</v>
      </c>
      <c r="J388" s="1">
        <f t="shared" si="173"/>
        <v>0</v>
      </c>
      <c r="K388" s="1">
        <f t="shared" si="173"/>
        <v>0</v>
      </c>
      <c r="L388" s="1">
        <f t="shared" si="173"/>
        <v>0</v>
      </c>
      <c r="M388" s="1">
        <f t="shared" si="173"/>
        <v>0</v>
      </c>
      <c r="N388" s="1">
        <f t="shared" si="173"/>
        <v>0</v>
      </c>
      <c r="O388" s="1">
        <f t="shared" si="173"/>
        <v>642.41</v>
      </c>
      <c r="P388" s="1">
        <f t="shared" si="173"/>
        <v>5639018.1900000004</v>
      </c>
      <c r="Q388" s="1">
        <f t="shared" si="173"/>
        <v>0</v>
      </c>
      <c r="R388" s="1">
        <f t="shared" si="173"/>
        <v>0</v>
      </c>
      <c r="S388" s="1">
        <f t="shared" si="173"/>
        <v>0</v>
      </c>
      <c r="T388" s="1">
        <f t="shared" si="173"/>
        <v>0</v>
      </c>
      <c r="U388" s="1">
        <f t="shared" si="173"/>
        <v>0</v>
      </c>
      <c r="V388" s="1">
        <f t="shared" si="173"/>
        <v>0</v>
      </c>
      <c r="W388" s="1">
        <f t="shared" si="173"/>
        <v>0</v>
      </c>
      <c r="X388" s="1">
        <f t="shared" si="173"/>
        <v>0</v>
      </c>
      <c r="Y388" s="1">
        <f t="shared" si="173"/>
        <v>0</v>
      </c>
      <c r="Z388" s="1">
        <f t="shared" si="173"/>
        <v>441669.72</v>
      </c>
      <c r="AA388" s="1">
        <f t="shared" si="173"/>
        <v>0</v>
      </c>
    </row>
    <row r="389" spans="1:27" s="75" customFormat="1" ht="40.5" customHeight="1">
      <c r="A389" s="76">
        <v>78</v>
      </c>
      <c r="B389" s="136" t="s">
        <v>203</v>
      </c>
      <c r="C389" s="1">
        <f>D389+L389+N389+P389+R389+T389+V389+X389+Y389+Z389+AA389</f>
        <v>6080687.9100000001</v>
      </c>
      <c r="D389" s="1">
        <f>SUM(E389:J389)</f>
        <v>0</v>
      </c>
      <c r="E389" s="2">
        <v>0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3">
        <v>642.41</v>
      </c>
      <c r="P389" s="8">
        <v>5639018.1900000004</v>
      </c>
      <c r="Q389" s="3">
        <v>0</v>
      </c>
      <c r="R389" s="3">
        <v>0</v>
      </c>
      <c r="S389" s="3">
        <v>0</v>
      </c>
      <c r="T389" s="3">
        <v>0</v>
      </c>
      <c r="U389" s="3">
        <v>0</v>
      </c>
      <c r="V389" s="3">
        <v>0</v>
      </c>
      <c r="W389" s="3">
        <v>0</v>
      </c>
      <c r="X389" s="3">
        <v>0</v>
      </c>
      <c r="Y389" s="3">
        <v>0</v>
      </c>
      <c r="Z389" s="1">
        <v>441669.72</v>
      </c>
      <c r="AA389" s="2">
        <v>0</v>
      </c>
    </row>
    <row r="390" spans="1:27" s="75" customFormat="1" ht="29.25" customHeight="1">
      <c r="A390" s="161" t="s">
        <v>650</v>
      </c>
      <c r="B390" s="162"/>
      <c r="C390" s="162"/>
      <c r="D390" s="162"/>
      <c r="E390" s="162"/>
      <c r="F390" s="162"/>
      <c r="G390" s="162"/>
      <c r="H390" s="162"/>
      <c r="I390" s="162"/>
      <c r="J390" s="162"/>
      <c r="K390" s="162"/>
      <c r="L390" s="162"/>
      <c r="M390" s="162"/>
      <c r="N390" s="162"/>
      <c r="O390" s="162"/>
      <c r="P390" s="162"/>
      <c r="Q390" s="162"/>
      <c r="R390" s="162"/>
      <c r="S390" s="162"/>
      <c r="T390" s="162"/>
      <c r="U390" s="162"/>
      <c r="V390" s="162"/>
      <c r="W390" s="162"/>
      <c r="X390" s="162"/>
      <c r="Y390" s="162"/>
      <c r="Z390" s="162"/>
      <c r="AA390" s="163"/>
    </row>
    <row r="391" spans="1:27" ht="34.5" customHeight="1">
      <c r="A391" s="194" t="s">
        <v>328</v>
      </c>
      <c r="B391" s="195"/>
      <c r="C391" s="1">
        <f t="shared" ref="C391:AA391" si="174">C392+C528+C537+C548+C552+C557+C563+C579+C591+C612+C615+C620+C622+C631+C636+C661+C671+C678+C697+C699+C715+C727+C734+C737+C739+C741+C761+C763+C765+C767+C769+C771+C774</f>
        <v>2235223130.7208004</v>
      </c>
      <c r="D391" s="1">
        <f t="shared" si="174"/>
        <v>727226586.01000023</v>
      </c>
      <c r="E391" s="1">
        <f t="shared" si="174"/>
        <v>72796679.76000002</v>
      </c>
      <c r="F391" s="1">
        <f t="shared" si="174"/>
        <v>241197857.34000003</v>
      </c>
      <c r="G391" s="1">
        <f t="shared" si="174"/>
        <v>178266207.16</v>
      </c>
      <c r="H391" s="1">
        <f t="shared" si="174"/>
        <v>96555500.569999993</v>
      </c>
      <c r="I391" s="1">
        <f t="shared" si="174"/>
        <v>75024469.939999998</v>
      </c>
      <c r="J391" s="1">
        <f t="shared" si="174"/>
        <v>63385871.239999995</v>
      </c>
      <c r="K391" s="1">
        <f t="shared" si="174"/>
        <v>45</v>
      </c>
      <c r="L391" s="1">
        <f t="shared" si="174"/>
        <v>10388978.750000002</v>
      </c>
      <c r="M391" s="1">
        <f t="shared" si="174"/>
        <v>0</v>
      </c>
      <c r="N391" s="1">
        <f t="shared" si="174"/>
        <v>0</v>
      </c>
      <c r="O391" s="1">
        <f t="shared" si="174"/>
        <v>98579.570000000022</v>
      </c>
      <c r="P391" s="1">
        <f t="shared" si="174"/>
        <v>735855846.09999979</v>
      </c>
      <c r="Q391" s="1">
        <f t="shared" si="174"/>
        <v>6185.9</v>
      </c>
      <c r="R391" s="1">
        <f t="shared" si="174"/>
        <v>8053095.6500000004</v>
      </c>
      <c r="S391" s="1">
        <f t="shared" si="174"/>
        <v>63297.859999999986</v>
      </c>
      <c r="T391" s="1">
        <f t="shared" si="174"/>
        <v>413188439.72000003</v>
      </c>
      <c r="U391" s="1">
        <f t="shared" si="174"/>
        <v>35274.549999999996</v>
      </c>
      <c r="V391" s="1">
        <f t="shared" si="174"/>
        <v>210959911.41</v>
      </c>
      <c r="W391" s="1">
        <f t="shared" si="174"/>
        <v>54</v>
      </c>
      <c r="X391" s="1">
        <f t="shared" si="174"/>
        <v>6998154.8499999996</v>
      </c>
      <c r="Y391" s="1">
        <f t="shared" si="174"/>
        <v>0</v>
      </c>
      <c r="Z391" s="1">
        <f t="shared" si="174"/>
        <v>122552118.24079996</v>
      </c>
      <c r="AA391" s="1">
        <f t="shared" si="174"/>
        <v>0</v>
      </c>
    </row>
    <row r="392" spans="1:27" ht="38.25" customHeight="1">
      <c r="A392" s="158" t="s">
        <v>475</v>
      </c>
      <c r="B392" s="160"/>
      <c r="C392" s="1">
        <f>SUM(C393:C527)</f>
        <v>1353368558.5008004</v>
      </c>
      <c r="D392" s="1">
        <f t="shared" ref="D392:AA392" si="175">SUM(D393:D527)</f>
        <v>608498095.33000004</v>
      </c>
      <c r="E392" s="1">
        <f t="shared" si="175"/>
        <v>50049316.830000006</v>
      </c>
      <c r="F392" s="1">
        <f t="shared" si="175"/>
        <v>183591784.46000001</v>
      </c>
      <c r="G392" s="1">
        <f t="shared" si="175"/>
        <v>168526077.35999998</v>
      </c>
      <c r="H392" s="1">
        <f t="shared" si="175"/>
        <v>90150750.739999995</v>
      </c>
      <c r="I392" s="1">
        <f t="shared" si="175"/>
        <v>70723391</v>
      </c>
      <c r="J392" s="1">
        <f t="shared" si="175"/>
        <v>45456774.940000013</v>
      </c>
      <c r="K392" s="1">
        <f t="shared" si="175"/>
        <v>40</v>
      </c>
      <c r="L392" s="1">
        <f t="shared" si="175"/>
        <v>8633604.3000000007</v>
      </c>
      <c r="M392" s="1">
        <f t="shared" si="175"/>
        <v>0</v>
      </c>
      <c r="N392" s="1">
        <f t="shared" si="175"/>
        <v>0</v>
      </c>
      <c r="O392" s="1">
        <f t="shared" si="175"/>
        <v>27204.79</v>
      </c>
      <c r="P392" s="1">
        <f t="shared" si="175"/>
        <v>190496028.61999997</v>
      </c>
      <c r="Q392" s="1">
        <f t="shared" si="175"/>
        <v>4774.2</v>
      </c>
      <c r="R392" s="1">
        <f t="shared" si="175"/>
        <v>5529752.4800000004</v>
      </c>
      <c r="S392" s="1">
        <f t="shared" si="175"/>
        <v>40830.779999999992</v>
      </c>
      <c r="T392" s="1">
        <f t="shared" si="175"/>
        <v>287579609.69</v>
      </c>
      <c r="U392" s="1">
        <f t="shared" si="175"/>
        <v>28353.739999999998</v>
      </c>
      <c r="V392" s="1">
        <f t="shared" si="175"/>
        <v>179111886.20999998</v>
      </c>
      <c r="W392" s="1">
        <f t="shared" si="175"/>
        <v>0</v>
      </c>
      <c r="X392" s="1">
        <f t="shared" si="175"/>
        <v>0</v>
      </c>
      <c r="Y392" s="1">
        <f t="shared" si="175"/>
        <v>0</v>
      </c>
      <c r="Z392" s="1">
        <f t="shared" si="175"/>
        <v>73519581.870799974</v>
      </c>
      <c r="AA392" s="1">
        <f t="shared" si="175"/>
        <v>0</v>
      </c>
    </row>
    <row r="393" spans="1:27" ht="37.5">
      <c r="A393" s="76">
        <v>1</v>
      </c>
      <c r="B393" s="121" t="s">
        <v>359</v>
      </c>
      <c r="C393" s="1">
        <v>2381298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460.7</v>
      </c>
      <c r="V393" s="1">
        <v>2208333</v>
      </c>
      <c r="W393" s="1">
        <v>0</v>
      </c>
      <c r="X393" s="1">
        <v>0</v>
      </c>
      <c r="Y393" s="1">
        <v>0</v>
      </c>
      <c r="Z393" s="1">
        <v>172965</v>
      </c>
      <c r="AA393" s="1">
        <v>0</v>
      </c>
    </row>
    <row r="394" spans="1:27" ht="33" customHeight="1">
      <c r="A394" s="76">
        <v>2</v>
      </c>
      <c r="B394" s="121" t="s">
        <v>591</v>
      </c>
      <c r="C394" s="1">
        <v>7895157.5899999999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1223</v>
      </c>
      <c r="P394" s="1">
        <v>7846050.5899999999</v>
      </c>
      <c r="Q394" s="1">
        <v>0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49107</v>
      </c>
      <c r="AA394" s="1">
        <v>0</v>
      </c>
    </row>
    <row r="395" spans="1:27" ht="38.25" customHeight="1">
      <c r="A395" s="76">
        <v>3</v>
      </c>
      <c r="B395" s="121" t="s">
        <v>592</v>
      </c>
      <c r="C395" s="1">
        <v>6945106.9900000002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1074</v>
      </c>
      <c r="P395" s="1">
        <v>6890153.9900000002</v>
      </c>
      <c r="Q395" s="1">
        <v>0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54953</v>
      </c>
      <c r="AA395" s="1">
        <v>0</v>
      </c>
    </row>
    <row r="396" spans="1:27" ht="36" customHeight="1">
      <c r="A396" s="76">
        <v>4</v>
      </c>
      <c r="B396" s="121" t="s">
        <v>455</v>
      </c>
      <c r="C396" s="1">
        <v>26742852.729999997</v>
      </c>
      <c r="D396" s="1">
        <v>6372001.0800000001</v>
      </c>
      <c r="E396" s="1">
        <v>0</v>
      </c>
      <c r="F396" s="1">
        <v>0</v>
      </c>
      <c r="G396" s="1">
        <v>6055929.1200000001</v>
      </c>
      <c r="H396" s="1">
        <v>0</v>
      </c>
      <c r="I396" s="1">
        <v>0</v>
      </c>
      <c r="J396" s="1">
        <v>316071.96000000002</v>
      </c>
      <c r="K396" s="1">
        <v>0</v>
      </c>
      <c r="L396" s="1">
        <v>0</v>
      </c>
      <c r="M396" s="1">
        <v>0</v>
      </c>
      <c r="N396" s="1">
        <v>0</v>
      </c>
      <c r="O396" s="1">
        <v>1301.2</v>
      </c>
      <c r="P396" s="1">
        <v>5808032.0599999996</v>
      </c>
      <c r="Q396" s="1">
        <v>0</v>
      </c>
      <c r="R396" s="1">
        <v>0</v>
      </c>
      <c r="S396" s="1">
        <v>2443.1999999999998</v>
      </c>
      <c r="T396" s="1">
        <v>13181134.199999999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1381685.39</v>
      </c>
      <c r="AA396" s="1">
        <v>0</v>
      </c>
    </row>
    <row r="397" spans="1:27" ht="34.5" customHeight="1">
      <c r="A397" s="76">
        <v>5</v>
      </c>
      <c r="B397" s="121" t="s">
        <v>361</v>
      </c>
      <c r="C397" s="1">
        <v>813823.57999999984</v>
      </c>
      <c r="D397" s="1">
        <v>754711.6399999999</v>
      </c>
      <c r="E397" s="1">
        <v>0</v>
      </c>
      <c r="F397" s="1">
        <v>754711.6399999999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59111.94</v>
      </c>
      <c r="AA397" s="1">
        <v>0</v>
      </c>
    </row>
    <row r="398" spans="1:27" ht="33.75" customHeight="1">
      <c r="A398" s="76">
        <v>6</v>
      </c>
      <c r="B398" s="121" t="s">
        <v>362</v>
      </c>
      <c r="C398" s="1">
        <v>2147502.0300000003</v>
      </c>
      <c r="D398" s="1">
        <v>1732418.6</v>
      </c>
      <c r="E398" s="1">
        <v>0</v>
      </c>
      <c r="F398" s="1">
        <v>1732418.6</v>
      </c>
      <c r="G398" s="1">
        <v>0</v>
      </c>
      <c r="H398" s="1">
        <v>0</v>
      </c>
      <c r="I398" s="1">
        <v>0</v>
      </c>
      <c r="J398" s="1">
        <v>0</v>
      </c>
      <c r="K398" s="1">
        <v>1</v>
      </c>
      <c r="L398" s="1">
        <v>365936.98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49146.45</v>
      </c>
      <c r="AA398" s="1">
        <v>0</v>
      </c>
    </row>
    <row r="399" spans="1:27" ht="40.5" customHeight="1">
      <c r="A399" s="76">
        <v>7</v>
      </c>
      <c r="B399" s="121" t="s">
        <v>590</v>
      </c>
      <c r="C399" s="1">
        <v>2276123.7600000002</v>
      </c>
      <c r="D399" s="1">
        <v>1841077.07</v>
      </c>
      <c r="E399" s="1">
        <v>0</v>
      </c>
      <c r="F399" s="1">
        <v>1841077.07</v>
      </c>
      <c r="G399" s="1">
        <v>0</v>
      </c>
      <c r="H399" s="1">
        <v>0</v>
      </c>
      <c r="I399" s="1">
        <v>0</v>
      </c>
      <c r="J399" s="1">
        <v>0</v>
      </c>
      <c r="K399" s="1">
        <v>1</v>
      </c>
      <c r="L399" s="1">
        <v>380940.32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54106.37</v>
      </c>
      <c r="AA399" s="1">
        <v>0</v>
      </c>
    </row>
    <row r="400" spans="1:27" ht="36" customHeight="1">
      <c r="A400" s="76">
        <v>8</v>
      </c>
      <c r="B400" s="121" t="s">
        <v>363</v>
      </c>
      <c r="C400" s="1">
        <v>1481378.81</v>
      </c>
      <c r="D400" s="1">
        <v>1447570.57</v>
      </c>
      <c r="E400" s="1">
        <v>0</v>
      </c>
      <c r="F400" s="1">
        <v>1447570.57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33808.239999999998</v>
      </c>
      <c r="AA400" s="1">
        <v>0</v>
      </c>
    </row>
    <row r="401" spans="1:27" ht="34.5" customHeight="1">
      <c r="A401" s="76">
        <v>9</v>
      </c>
      <c r="B401" s="121" t="s">
        <v>589</v>
      </c>
      <c r="C401" s="1">
        <v>12598670.410000002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1">
        <v>2992.9</v>
      </c>
      <c r="T401" s="1">
        <v>12417323.020000001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181347.39</v>
      </c>
      <c r="AA401" s="1">
        <v>0</v>
      </c>
    </row>
    <row r="402" spans="1:27" ht="31.5" customHeight="1">
      <c r="A402" s="76">
        <v>10</v>
      </c>
      <c r="B402" s="121" t="s">
        <v>364</v>
      </c>
      <c r="C402" s="1">
        <v>2224973.3199999998</v>
      </c>
      <c r="D402" s="1">
        <v>2171746</v>
      </c>
      <c r="E402" s="1">
        <v>0</v>
      </c>
      <c r="F402" s="1">
        <v>0</v>
      </c>
      <c r="G402" s="1">
        <v>0</v>
      </c>
      <c r="H402" s="1">
        <v>0</v>
      </c>
      <c r="I402" s="1">
        <v>2171746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0</v>
      </c>
      <c r="S402" s="1">
        <v>0</v>
      </c>
      <c r="T402" s="1">
        <v>0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53227.32</v>
      </c>
      <c r="AA402" s="1">
        <v>0</v>
      </c>
    </row>
    <row r="403" spans="1:27" ht="34.5" customHeight="1">
      <c r="A403" s="76">
        <v>11</v>
      </c>
      <c r="B403" s="121" t="s">
        <v>365</v>
      </c>
      <c r="C403" s="1">
        <v>1805529.52</v>
      </c>
      <c r="D403" s="1">
        <v>1776366.58</v>
      </c>
      <c r="E403" s="1">
        <v>0</v>
      </c>
      <c r="F403" s="1">
        <v>1776366.58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29162.94</v>
      </c>
      <c r="AA403" s="1">
        <v>0</v>
      </c>
    </row>
    <row r="404" spans="1:27" ht="33.75" customHeight="1">
      <c r="A404" s="76">
        <v>12</v>
      </c>
      <c r="B404" s="121" t="s">
        <v>366</v>
      </c>
      <c r="C404" s="1">
        <v>3277475.14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0</v>
      </c>
      <c r="S404" s="1">
        <v>785.5</v>
      </c>
      <c r="T404" s="1">
        <v>3258982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18493.14</v>
      </c>
      <c r="AA404" s="1">
        <v>0</v>
      </c>
    </row>
    <row r="405" spans="1:27" ht="30.75" customHeight="1">
      <c r="A405" s="76">
        <v>13</v>
      </c>
      <c r="B405" s="121" t="s">
        <v>367</v>
      </c>
      <c r="C405" s="1">
        <v>33628098.259999998</v>
      </c>
      <c r="D405" s="1">
        <v>33479619.57</v>
      </c>
      <c r="E405" s="1">
        <v>0</v>
      </c>
      <c r="F405" s="1">
        <v>33479619.57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v>0</v>
      </c>
      <c r="Q405" s="1">
        <v>0</v>
      </c>
      <c r="R405" s="1">
        <v>0</v>
      </c>
      <c r="S405" s="1">
        <v>0</v>
      </c>
      <c r="T405" s="1">
        <v>0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148478.69</v>
      </c>
      <c r="AA405" s="1">
        <v>0</v>
      </c>
    </row>
    <row r="406" spans="1:27" ht="33.75" customHeight="1">
      <c r="A406" s="76">
        <v>14</v>
      </c>
      <c r="B406" s="121" t="s">
        <v>368</v>
      </c>
      <c r="C406" s="1">
        <v>2872926.99</v>
      </c>
      <c r="D406" s="1">
        <v>2701540.39</v>
      </c>
      <c r="E406" s="1">
        <v>0</v>
      </c>
      <c r="F406" s="1">
        <v>0</v>
      </c>
      <c r="G406" s="1">
        <v>2069878.03</v>
      </c>
      <c r="H406" s="1">
        <v>0</v>
      </c>
      <c r="I406" s="1">
        <v>0</v>
      </c>
      <c r="J406" s="1">
        <v>631662.36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171386.59999999998</v>
      </c>
      <c r="AA406" s="1">
        <v>0</v>
      </c>
    </row>
    <row r="407" spans="1:27" ht="39" customHeight="1">
      <c r="A407" s="76">
        <v>15</v>
      </c>
      <c r="B407" s="121" t="s">
        <v>635</v>
      </c>
      <c r="C407" s="1">
        <v>9662753.8200000003</v>
      </c>
      <c r="D407" s="1">
        <v>3465440</v>
      </c>
      <c r="E407" s="1">
        <v>0</v>
      </c>
      <c r="F407" s="1">
        <v>0</v>
      </c>
      <c r="G407" s="1">
        <v>0</v>
      </c>
      <c r="H407" s="1">
        <v>1316489</v>
      </c>
      <c r="I407" s="1">
        <v>1316489</v>
      </c>
      <c r="J407" s="1">
        <v>832462</v>
      </c>
      <c r="K407" s="1">
        <v>0</v>
      </c>
      <c r="L407" s="1">
        <v>0</v>
      </c>
      <c r="M407" s="1">
        <v>0</v>
      </c>
      <c r="N407" s="1">
        <v>0</v>
      </c>
      <c r="O407" s="1">
        <v>680</v>
      </c>
      <c r="P407" s="1">
        <v>6075940.9000000004</v>
      </c>
      <c r="Q407" s="1">
        <v>0</v>
      </c>
      <c r="R407" s="1">
        <v>0</v>
      </c>
      <c r="S407" s="1">
        <v>0</v>
      </c>
      <c r="T407" s="1">
        <v>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121372.92000000001</v>
      </c>
      <c r="AA407" s="1">
        <v>0</v>
      </c>
    </row>
    <row r="408" spans="1:27" ht="88.5" customHeight="1">
      <c r="A408" s="76">
        <v>16</v>
      </c>
      <c r="B408" s="121" t="s">
        <v>369</v>
      </c>
      <c r="C408" s="1">
        <v>4845283.5500000007</v>
      </c>
      <c r="D408" s="1">
        <v>4434394.1400000006</v>
      </c>
      <c r="E408" s="1">
        <v>0</v>
      </c>
      <c r="F408" s="1">
        <v>2382713.1</v>
      </c>
      <c r="G408" s="1">
        <v>2051681.04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0</v>
      </c>
      <c r="R408" s="1">
        <v>0</v>
      </c>
      <c r="S408" s="1">
        <v>0</v>
      </c>
      <c r="T408" s="1">
        <v>0</v>
      </c>
      <c r="U408" s="1">
        <v>0</v>
      </c>
      <c r="V408" s="1">
        <v>0</v>
      </c>
      <c r="W408" s="1">
        <v>0</v>
      </c>
      <c r="X408" s="1" t="s">
        <v>262</v>
      </c>
      <c r="Y408" s="1">
        <v>0</v>
      </c>
      <c r="Z408" s="1">
        <v>410889.41000000003</v>
      </c>
      <c r="AA408" s="1">
        <v>0</v>
      </c>
    </row>
    <row r="409" spans="1:27" ht="36" customHeight="1">
      <c r="A409" s="76">
        <v>17</v>
      </c>
      <c r="B409" s="121" t="s">
        <v>370</v>
      </c>
      <c r="C409" s="1">
        <f>D409+P409+Z409</f>
        <v>2253297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1126</v>
      </c>
      <c r="P409" s="1">
        <v>2198421.81</v>
      </c>
      <c r="Q409" s="1">
        <v>0</v>
      </c>
      <c r="R409" s="1">
        <v>0</v>
      </c>
      <c r="S409" s="1">
        <v>0</v>
      </c>
      <c r="T409" s="1">
        <v>0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54875.19</v>
      </c>
      <c r="AA409" s="1">
        <v>0</v>
      </c>
    </row>
    <row r="410" spans="1:27" ht="34.5" customHeight="1">
      <c r="A410" s="76">
        <v>18</v>
      </c>
      <c r="B410" s="121" t="s">
        <v>371</v>
      </c>
      <c r="C410" s="1">
        <v>27868085.329999998</v>
      </c>
      <c r="D410" s="1">
        <v>7444527.5199999996</v>
      </c>
      <c r="E410" s="1">
        <v>0</v>
      </c>
      <c r="F410" s="1">
        <v>0</v>
      </c>
      <c r="G410" s="1">
        <v>0</v>
      </c>
      <c r="H410" s="1">
        <v>0</v>
      </c>
      <c r="I410" s="1">
        <v>7444527.5199999996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v>0</v>
      </c>
      <c r="Q410" s="1">
        <v>0</v>
      </c>
      <c r="R410" s="1">
        <v>0</v>
      </c>
      <c r="S410" s="1">
        <v>0</v>
      </c>
      <c r="T410" s="1">
        <v>0</v>
      </c>
      <c r="U410" s="1">
        <v>3133.3</v>
      </c>
      <c r="V410" s="1">
        <v>19168248.75</v>
      </c>
      <c r="W410" s="1">
        <v>0</v>
      </c>
      <c r="X410" s="1">
        <v>0</v>
      </c>
      <c r="Y410" s="1">
        <v>0</v>
      </c>
      <c r="Z410" s="1">
        <v>1255309.06</v>
      </c>
      <c r="AA410" s="1">
        <v>0</v>
      </c>
    </row>
    <row r="411" spans="1:27" ht="33.75" customHeight="1">
      <c r="A411" s="76">
        <v>19</v>
      </c>
      <c r="B411" s="121" t="s">
        <v>372</v>
      </c>
      <c r="C411" s="1">
        <v>2423389.86</v>
      </c>
      <c r="D411" s="1">
        <v>2351360</v>
      </c>
      <c r="E411" s="1">
        <v>0</v>
      </c>
      <c r="F411" s="1">
        <v>0</v>
      </c>
      <c r="G411" s="1">
        <v>0</v>
      </c>
      <c r="H411" s="1">
        <v>0</v>
      </c>
      <c r="I411" s="1">
        <v>2351360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>
        <v>72029.86</v>
      </c>
      <c r="AA411" s="1">
        <v>0</v>
      </c>
    </row>
    <row r="412" spans="1:27" ht="31.5" customHeight="1">
      <c r="A412" s="76">
        <v>20</v>
      </c>
      <c r="B412" s="121" t="s">
        <v>595</v>
      </c>
      <c r="C412" s="1">
        <v>2903468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978</v>
      </c>
      <c r="P412" s="1">
        <v>2758739</v>
      </c>
      <c r="Q412" s="1">
        <v>0</v>
      </c>
      <c r="R412" s="1">
        <v>0</v>
      </c>
      <c r="S412" s="1">
        <v>0</v>
      </c>
      <c r="T412" s="1">
        <v>0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>
        <v>144729</v>
      </c>
      <c r="AA412" s="1">
        <v>0</v>
      </c>
    </row>
    <row r="413" spans="1:27" ht="41.25" customHeight="1">
      <c r="A413" s="76">
        <v>21</v>
      </c>
      <c r="B413" s="124" t="s">
        <v>596</v>
      </c>
      <c r="C413" s="1">
        <v>3262147.22</v>
      </c>
      <c r="D413" s="1">
        <v>3119242.8400000003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3119242.8400000003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142904.38</v>
      </c>
      <c r="AA413" s="1">
        <v>0</v>
      </c>
    </row>
    <row r="414" spans="1:27" ht="34.5" customHeight="1">
      <c r="A414" s="76">
        <v>22</v>
      </c>
      <c r="B414" s="124" t="s">
        <v>373</v>
      </c>
      <c r="C414" s="1">
        <v>9834357.1300000008</v>
      </c>
      <c r="D414" s="1">
        <v>6538460.0300000003</v>
      </c>
      <c r="E414" s="1">
        <v>392537.91</v>
      </c>
      <c r="F414" s="1">
        <v>1865364.95</v>
      </c>
      <c r="G414" s="1">
        <v>1542889.56</v>
      </c>
      <c r="H414" s="1">
        <v>1123941.4099999999</v>
      </c>
      <c r="I414" s="1">
        <v>1123941.4099999999</v>
      </c>
      <c r="J414" s="1">
        <v>489784.79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700.6</v>
      </c>
      <c r="T414" s="1">
        <v>3026242.12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269654.98000000004</v>
      </c>
      <c r="AA414" s="1">
        <v>0</v>
      </c>
    </row>
    <row r="415" spans="1:27" ht="36" customHeight="1">
      <c r="A415" s="76">
        <v>23</v>
      </c>
      <c r="B415" s="124" t="s">
        <v>374</v>
      </c>
      <c r="C415" s="1">
        <v>438645.23</v>
      </c>
      <c r="D415" s="1">
        <v>419465.49</v>
      </c>
      <c r="E415" s="1">
        <v>419465.49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19179.740000000002</v>
      </c>
      <c r="AA415" s="1">
        <v>0</v>
      </c>
    </row>
    <row r="416" spans="1:27" ht="38.25" customHeight="1">
      <c r="A416" s="76">
        <v>24</v>
      </c>
      <c r="B416" s="124" t="s">
        <v>375</v>
      </c>
      <c r="C416" s="1">
        <v>1154632.0900000001</v>
      </c>
      <c r="D416" s="1">
        <v>1101070.32</v>
      </c>
      <c r="E416" s="1">
        <v>0</v>
      </c>
      <c r="F416" s="1">
        <v>0</v>
      </c>
      <c r="G416" s="1">
        <v>0</v>
      </c>
      <c r="H416" s="1">
        <v>766774.07000000007</v>
      </c>
      <c r="I416" s="1">
        <v>0</v>
      </c>
      <c r="J416" s="1">
        <v>334296.25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>
        <v>53561.770000000004</v>
      </c>
      <c r="AA416" s="1">
        <v>0</v>
      </c>
    </row>
    <row r="417" spans="1:27" ht="33" customHeight="1">
      <c r="A417" s="76">
        <v>25</v>
      </c>
      <c r="B417" s="124" t="s">
        <v>588</v>
      </c>
      <c r="C417" s="1">
        <v>26223875.760000002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4400</v>
      </c>
      <c r="V417" s="1">
        <v>25553793.760000002</v>
      </c>
      <c r="W417" s="1">
        <v>0</v>
      </c>
      <c r="X417" s="1">
        <v>0</v>
      </c>
      <c r="Y417" s="1">
        <v>0</v>
      </c>
      <c r="Z417" s="1">
        <v>670082</v>
      </c>
      <c r="AA417" s="1">
        <v>0</v>
      </c>
    </row>
    <row r="418" spans="1:27" ht="33" customHeight="1">
      <c r="A418" s="76">
        <v>26</v>
      </c>
      <c r="B418" s="124" t="s">
        <v>376</v>
      </c>
      <c r="C418" s="1">
        <v>5769399.9300000006</v>
      </c>
      <c r="D418" s="1">
        <v>1978505.11</v>
      </c>
      <c r="E418" s="1">
        <v>67061</v>
      </c>
      <c r="F418" s="1">
        <v>127023</v>
      </c>
      <c r="G418" s="1">
        <v>1657117.11</v>
      </c>
      <c r="H418" s="1">
        <v>77989</v>
      </c>
      <c r="I418" s="1">
        <v>0</v>
      </c>
      <c r="J418" s="1">
        <v>49315</v>
      </c>
      <c r="K418" s="1">
        <v>0</v>
      </c>
      <c r="L418" s="1">
        <v>0</v>
      </c>
      <c r="M418" s="1">
        <v>0</v>
      </c>
      <c r="N418" s="1">
        <v>0</v>
      </c>
      <c r="O418" s="1">
        <v>713.4</v>
      </c>
      <c r="P418" s="1">
        <v>2084983.99</v>
      </c>
      <c r="Q418" s="1">
        <v>0</v>
      </c>
      <c r="R418" s="1">
        <v>0</v>
      </c>
      <c r="S418" s="1">
        <v>921.24</v>
      </c>
      <c r="T418" s="1">
        <v>1286851.79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>
        <v>419059.04000000004</v>
      </c>
      <c r="AA418" s="1">
        <v>0</v>
      </c>
    </row>
    <row r="419" spans="1:27" ht="35.25" customHeight="1">
      <c r="A419" s="76">
        <v>27</v>
      </c>
      <c r="B419" s="124" t="s">
        <v>456</v>
      </c>
      <c r="C419" s="1">
        <v>3547908.87</v>
      </c>
      <c r="D419" s="1">
        <v>3290207.12</v>
      </c>
      <c r="E419" s="1">
        <v>0</v>
      </c>
      <c r="F419" s="1">
        <v>2052804.82</v>
      </c>
      <c r="G419" s="1">
        <v>0</v>
      </c>
      <c r="H419" s="1">
        <v>0</v>
      </c>
      <c r="I419" s="1">
        <f>1211476.7+25925.6</f>
        <v>1237402.3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257701.75</v>
      </c>
      <c r="AA419" s="1">
        <v>0</v>
      </c>
    </row>
    <row r="420" spans="1:27" ht="37.5" customHeight="1">
      <c r="A420" s="76">
        <v>28</v>
      </c>
      <c r="B420" s="124" t="s">
        <v>378</v>
      </c>
      <c r="C420" s="1">
        <v>4930704.99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  <c r="Q420" s="1">
        <v>0</v>
      </c>
      <c r="R420" s="1">
        <v>0</v>
      </c>
      <c r="S420" s="1">
        <v>1157.8499999999999</v>
      </c>
      <c r="T420" s="1">
        <v>4803834.9000000004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>
        <v>126870.09</v>
      </c>
      <c r="AA420" s="1">
        <v>0</v>
      </c>
    </row>
    <row r="421" spans="1:27" ht="84" customHeight="1">
      <c r="A421" s="76">
        <v>29</v>
      </c>
      <c r="B421" s="124" t="s">
        <v>379</v>
      </c>
      <c r="C421" s="1">
        <v>9438954.3200000003</v>
      </c>
      <c r="D421" s="1">
        <v>5496154.1100000003</v>
      </c>
      <c r="E421" s="1">
        <v>0</v>
      </c>
      <c r="F421" s="1">
        <v>3430655.44</v>
      </c>
      <c r="G421" s="1">
        <v>0</v>
      </c>
      <c r="H421" s="1">
        <v>2065498.6700000002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775</v>
      </c>
      <c r="T421" s="1">
        <v>3215418.27</v>
      </c>
      <c r="U421" s="1">
        <v>0</v>
      </c>
      <c r="V421" s="1">
        <v>0</v>
      </c>
      <c r="W421" s="1">
        <v>0</v>
      </c>
      <c r="X421" s="1" t="s">
        <v>262</v>
      </c>
      <c r="Y421" s="1">
        <v>0</v>
      </c>
      <c r="Z421" s="1">
        <v>727381.94</v>
      </c>
      <c r="AA421" s="1">
        <v>0</v>
      </c>
    </row>
    <row r="422" spans="1:27" ht="41.25" customHeight="1">
      <c r="A422" s="76">
        <v>30</v>
      </c>
      <c r="B422" s="124" t="s">
        <v>600</v>
      </c>
      <c r="C422" s="1">
        <v>2540822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Q422" s="1">
        <v>2950</v>
      </c>
      <c r="R422" s="1">
        <v>2356269.83</v>
      </c>
      <c r="S422" s="1">
        <v>0</v>
      </c>
      <c r="T422" s="1">
        <v>0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>
        <v>184552.17</v>
      </c>
      <c r="AA422" s="1">
        <v>0</v>
      </c>
    </row>
    <row r="423" spans="1:27" ht="33" customHeight="1">
      <c r="A423" s="76">
        <v>31</v>
      </c>
      <c r="B423" s="124" t="s">
        <v>380</v>
      </c>
      <c r="C423" s="1">
        <v>2518802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927</v>
      </c>
      <c r="P423" s="1">
        <v>2335849</v>
      </c>
      <c r="Q423" s="1">
        <v>0</v>
      </c>
      <c r="R423" s="1">
        <v>0</v>
      </c>
      <c r="S423" s="1">
        <v>0</v>
      </c>
      <c r="T423" s="1">
        <v>0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>
        <v>182953</v>
      </c>
      <c r="AA423" s="1">
        <v>0</v>
      </c>
    </row>
    <row r="424" spans="1:27" ht="33" customHeight="1">
      <c r="A424" s="76">
        <v>32</v>
      </c>
      <c r="B424" s="124" t="s">
        <v>381</v>
      </c>
      <c r="C424" s="1">
        <v>2875428.66</v>
      </c>
      <c r="D424" s="1">
        <v>2813114.95</v>
      </c>
      <c r="E424" s="1">
        <v>0</v>
      </c>
      <c r="F424" s="1">
        <v>1139663.4100000001</v>
      </c>
      <c r="G424" s="1">
        <v>0</v>
      </c>
      <c r="H424" s="1">
        <v>686973.30999999994</v>
      </c>
      <c r="I424" s="1">
        <v>686973.30999999994</v>
      </c>
      <c r="J424" s="1">
        <v>299504.92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v>0</v>
      </c>
      <c r="Q424" s="1">
        <v>0</v>
      </c>
      <c r="R424" s="1">
        <v>0</v>
      </c>
      <c r="S424" s="1">
        <v>0</v>
      </c>
      <c r="T424" s="1">
        <v>0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>
        <v>62313.71</v>
      </c>
      <c r="AA424" s="1">
        <v>0</v>
      </c>
    </row>
    <row r="425" spans="1:27" ht="38.25" customHeight="1">
      <c r="A425" s="76">
        <v>33</v>
      </c>
      <c r="B425" s="124" t="s">
        <v>382</v>
      </c>
      <c r="C425" s="1">
        <v>11152356.57</v>
      </c>
      <c r="D425" s="1">
        <v>221112.61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221112.61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632.77</v>
      </c>
      <c r="T425" s="1">
        <v>9879605.9600000009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1051638</v>
      </c>
      <c r="AA425" s="1">
        <v>0</v>
      </c>
    </row>
    <row r="426" spans="1:27" ht="36" customHeight="1">
      <c r="A426" s="76">
        <v>34</v>
      </c>
      <c r="B426" s="124" t="s">
        <v>383</v>
      </c>
      <c r="C426" s="1">
        <v>1896351.66</v>
      </c>
      <c r="D426" s="1">
        <v>1831036.6099999999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1831036.6099999999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0</v>
      </c>
      <c r="S426" s="1">
        <v>0</v>
      </c>
      <c r="T426" s="1">
        <v>0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>
        <v>65315.05</v>
      </c>
      <c r="AA426" s="1">
        <v>0</v>
      </c>
    </row>
    <row r="427" spans="1:27" ht="38.25" customHeight="1">
      <c r="A427" s="76">
        <v>35</v>
      </c>
      <c r="B427" s="124" t="s">
        <v>384</v>
      </c>
      <c r="C427" s="1">
        <v>9016794.3300000001</v>
      </c>
      <c r="D427" s="1">
        <v>8411137.3300000001</v>
      </c>
      <c r="E427" s="1">
        <v>0</v>
      </c>
      <c r="F427" s="1">
        <v>8411137.3300000001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605657</v>
      </c>
      <c r="AA427" s="1">
        <v>0</v>
      </c>
    </row>
    <row r="428" spans="1:27" ht="42" customHeight="1">
      <c r="A428" s="76">
        <v>36</v>
      </c>
      <c r="B428" s="124" t="s">
        <v>598</v>
      </c>
      <c r="C428" s="1">
        <v>24192921.879999999</v>
      </c>
      <c r="D428" s="1">
        <v>9126291.0199999996</v>
      </c>
      <c r="E428" s="1">
        <v>0</v>
      </c>
      <c r="F428" s="1">
        <v>0</v>
      </c>
      <c r="G428" s="1">
        <v>9126291.0199999996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  <c r="Q428" s="1">
        <v>0</v>
      </c>
      <c r="R428" s="1">
        <v>0</v>
      </c>
      <c r="S428" s="1">
        <v>0</v>
      </c>
      <c r="T428" s="1">
        <v>0</v>
      </c>
      <c r="U428" s="1">
        <v>2560</v>
      </c>
      <c r="V428" s="1">
        <v>14145981.439999999</v>
      </c>
      <c r="W428" s="1">
        <v>0</v>
      </c>
      <c r="X428" s="1">
        <v>0</v>
      </c>
      <c r="Y428" s="1">
        <v>0</v>
      </c>
      <c r="Z428" s="1">
        <v>920649.42</v>
      </c>
      <c r="AA428" s="1">
        <v>0</v>
      </c>
    </row>
    <row r="429" spans="1:27" ht="36.75" customHeight="1">
      <c r="A429" s="76">
        <v>37</v>
      </c>
      <c r="B429" s="124" t="s">
        <v>599</v>
      </c>
      <c r="C429" s="1">
        <v>12717935</v>
      </c>
      <c r="D429" s="1">
        <v>12182165.9</v>
      </c>
      <c r="E429" s="1">
        <v>0</v>
      </c>
      <c r="F429" s="1">
        <v>0</v>
      </c>
      <c r="G429" s="1">
        <v>0</v>
      </c>
      <c r="H429" s="1">
        <v>8753881.3300000001</v>
      </c>
      <c r="I429" s="1">
        <v>0</v>
      </c>
      <c r="J429" s="1">
        <v>3428284.57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v>0</v>
      </c>
      <c r="Q429" s="1">
        <v>0</v>
      </c>
      <c r="R429" s="1">
        <v>0</v>
      </c>
      <c r="S429" s="1">
        <v>0</v>
      </c>
      <c r="T429" s="1">
        <v>0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>
        <v>535769.10000000009</v>
      </c>
      <c r="AA429" s="1">
        <v>0</v>
      </c>
    </row>
    <row r="430" spans="1:27" ht="40.5" customHeight="1">
      <c r="A430" s="76">
        <v>38</v>
      </c>
      <c r="B430" s="124" t="s">
        <v>601</v>
      </c>
      <c r="C430" s="1">
        <v>5336490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1964</v>
      </c>
      <c r="P430" s="1">
        <v>4948875</v>
      </c>
      <c r="Q430" s="1">
        <v>0</v>
      </c>
      <c r="R430" s="1">
        <v>0</v>
      </c>
      <c r="S430" s="1">
        <v>0</v>
      </c>
      <c r="T430" s="1">
        <v>0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>
        <v>387615</v>
      </c>
      <c r="AA430" s="1">
        <v>0</v>
      </c>
    </row>
    <row r="431" spans="1:27" ht="34.5" customHeight="1">
      <c r="A431" s="76">
        <v>39</v>
      </c>
      <c r="B431" s="124" t="s">
        <v>602</v>
      </c>
      <c r="C431" s="1">
        <v>20545653.079999998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2738</v>
      </c>
      <c r="P431" s="1">
        <v>20349108.899999999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>
        <v>196544.18</v>
      </c>
      <c r="AA431" s="1">
        <v>0</v>
      </c>
    </row>
    <row r="432" spans="1:27" ht="39" customHeight="1">
      <c r="A432" s="76">
        <v>40</v>
      </c>
      <c r="B432" s="124" t="s">
        <v>603</v>
      </c>
      <c r="C432" s="1">
        <v>92071382.489999995</v>
      </c>
      <c r="D432" s="1">
        <v>65034357.409999996</v>
      </c>
      <c r="E432" s="1">
        <v>6657867.5099999998</v>
      </c>
      <c r="F432" s="1">
        <v>17718001.600000001</v>
      </c>
      <c r="G432" s="1">
        <v>14654998.07</v>
      </c>
      <c r="H432" s="1">
        <v>10675656.66</v>
      </c>
      <c r="I432" s="1">
        <v>10675656.66</v>
      </c>
      <c r="J432" s="1">
        <v>4652176.91</v>
      </c>
      <c r="K432" s="1">
        <v>0</v>
      </c>
      <c r="L432" s="1">
        <v>0</v>
      </c>
      <c r="M432" s="1">
        <v>0</v>
      </c>
      <c r="N432" s="1">
        <v>0</v>
      </c>
      <c r="O432" s="1">
        <v>2800</v>
      </c>
      <c r="P432" s="1">
        <v>25018580.16</v>
      </c>
      <c r="Q432" s="1">
        <v>0</v>
      </c>
      <c r="R432" s="1">
        <v>0</v>
      </c>
      <c r="S432" s="1">
        <v>0</v>
      </c>
      <c r="T432" s="1">
        <v>0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1">
        <v>2018444.92</v>
      </c>
      <c r="AA432" s="1">
        <v>0</v>
      </c>
    </row>
    <row r="433" spans="1:28" ht="31.5" customHeight="1">
      <c r="A433" s="76">
        <v>41</v>
      </c>
      <c r="B433" s="124" t="s">
        <v>876</v>
      </c>
      <c r="C433" s="1">
        <v>5918732.8500000006</v>
      </c>
      <c r="D433" s="1">
        <v>5666672.8600000003</v>
      </c>
      <c r="E433" s="1">
        <v>0</v>
      </c>
      <c r="F433" s="1">
        <v>0</v>
      </c>
      <c r="G433" s="1">
        <v>0</v>
      </c>
      <c r="H433" s="1">
        <v>3946212.81</v>
      </c>
      <c r="I433" s="1">
        <v>0</v>
      </c>
      <c r="J433" s="1">
        <v>1720460.05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v>0</v>
      </c>
      <c r="Q433" s="1">
        <v>0</v>
      </c>
      <c r="R433" s="1">
        <v>0</v>
      </c>
      <c r="S433" s="1">
        <v>0</v>
      </c>
      <c r="T433" s="1">
        <v>0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>
        <v>252059.99</v>
      </c>
      <c r="AA433" s="1">
        <v>0</v>
      </c>
    </row>
    <row r="434" spans="1:28" ht="33" customHeight="1">
      <c r="A434" s="76">
        <v>42</v>
      </c>
      <c r="B434" s="124" t="s">
        <v>385</v>
      </c>
      <c r="C434" s="1">
        <v>6193650.6599999992</v>
      </c>
      <c r="D434" s="1">
        <v>5955736.1099999994</v>
      </c>
      <c r="E434" s="1">
        <v>0</v>
      </c>
      <c r="F434" s="1">
        <v>0</v>
      </c>
      <c r="G434" s="1">
        <v>0</v>
      </c>
      <c r="H434" s="1">
        <v>4147513.4899999998</v>
      </c>
      <c r="I434" s="1">
        <v>0</v>
      </c>
      <c r="J434" s="1">
        <v>1808222.6199999999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0</v>
      </c>
      <c r="T434" s="1">
        <v>0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>
        <v>237914.55</v>
      </c>
      <c r="AA434" s="1">
        <v>0</v>
      </c>
    </row>
    <row r="435" spans="1:28" ht="36" customHeight="1">
      <c r="A435" s="76">
        <v>43</v>
      </c>
      <c r="B435" s="124" t="s">
        <v>386</v>
      </c>
      <c r="C435" s="1">
        <v>2749421.9599999995</v>
      </c>
      <c r="D435" s="1">
        <v>2549718.1599999997</v>
      </c>
      <c r="E435" s="1">
        <v>2549718.1599999997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0</v>
      </c>
      <c r="S435" s="1">
        <v>0</v>
      </c>
      <c r="T435" s="1">
        <v>0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>
        <v>199703.8</v>
      </c>
      <c r="AA435" s="1">
        <v>0</v>
      </c>
    </row>
    <row r="436" spans="1:28" ht="33.75" customHeight="1">
      <c r="A436" s="76">
        <v>44</v>
      </c>
      <c r="B436" s="124" t="s">
        <v>387</v>
      </c>
      <c r="C436" s="1">
        <f>D436+L436+N436+P436+R436+T436+V436+X436+Y436+Z436</f>
        <v>589685.92999999993</v>
      </c>
      <c r="D436" s="1">
        <f>E436+F436+G436+H436+I436+J436</f>
        <v>546854.18999999994</v>
      </c>
      <c r="E436" s="1">
        <v>546854.18999999994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0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42831.74</v>
      </c>
      <c r="AA436" s="1">
        <v>0</v>
      </c>
      <c r="AB436" s="114"/>
    </row>
    <row r="437" spans="1:28" ht="36.75" customHeight="1">
      <c r="A437" s="76">
        <v>45</v>
      </c>
      <c r="B437" s="124" t="s">
        <v>388</v>
      </c>
      <c r="C437" s="1">
        <v>193341</v>
      </c>
      <c r="D437" s="1">
        <v>179297.71</v>
      </c>
      <c r="E437" s="1">
        <v>0</v>
      </c>
      <c r="F437" s="1">
        <v>0</v>
      </c>
      <c r="G437" s="1">
        <v>0</v>
      </c>
      <c r="H437" s="1">
        <v>179297.71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  <c r="Q437" s="1">
        <v>0</v>
      </c>
      <c r="R437" s="1">
        <v>0</v>
      </c>
      <c r="S437" s="1">
        <v>0</v>
      </c>
      <c r="T437" s="1">
        <v>0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>
        <v>14043.29</v>
      </c>
      <c r="AA437" s="1">
        <v>0</v>
      </c>
    </row>
    <row r="438" spans="1:28" ht="33.75" customHeight="1">
      <c r="A438" s="76">
        <v>46</v>
      </c>
      <c r="B438" s="124" t="s">
        <v>389</v>
      </c>
      <c r="C438" s="1">
        <v>3835417.8</v>
      </c>
      <c r="D438" s="1">
        <v>3556832.88</v>
      </c>
      <c r="E438" s="1">
        <v>3556832.88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1">
        <v>0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>
        <v>278584.92</v>
      </c>
      <c r="AA438" s="1">
        <v>0</v>
      </c>
    </row>
    <row r="439" spans="1:28" ht="34.5" customHeight="1">
      <c r="A439" s="76">
        <v>47</v>
      </c>
      <c r="B439" s="124" t="s">
        <v>390</v>
      </c>
      <c r="C439" s="1">
        <v>17209474.98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>
        <v>1086.6400000000001</v>
      </c>
      <c r="T439" s="1">
        <v>17115021.300000001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>
        <v>94453.68</v>
      </c>
      <c r="AA439" s="1">
        <v>0</v>
      </c>
    </row>
    <row r="440" spans="1:28" ht="34.5" customHeight="1">
      <c r="A440" s="76">
        <v>48</v>
      </c>
      <c r="B440" s="124" t="s">
        <v>391</v>
      </c>
      <c r="C440" s="1">
        <v>579845</v>
      </c>
      <c r="D440" s="1">
        <v>537728.06000000006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537728.06000000006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42116.94</v>
      </c>
      <c r="AA440" s="1">
        <v>0</v>
      </c>
    </row>
    <row r="441" spans="1:28" ht="33.75" customHeight="1">
      <c r="A441" s="76">
        <v>49</v>
      </c>
      <c r="B441" s="124" t="s">
        <v>392</v>
      </c>
      <c r="C441" s="1">
        <v>16234608.260000002</v>
      </c>
      <c r="D441" s="1">
        <v>15936754.260000002</v>
      </c>
      <c r="E441" s="1">
        <v>0</v>
      </c>
      <c r="F441" s="1">
        <v>0</v>
      </c>
      <c r="G441" s="1">
        <v>0</v>
      </c>
      <c r="H441" s="1">
        <v>11098192.07</v>
      </c>
      <c r="I441" s="1">
        <v>0</v>
      </c>
      <c r="J441" s="1">
        <v>4838562.1900000004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0</v>
      </c>
      <c r="S441" s="1">
        <v>0</v>
      </c>
      <c r="T441" s="1">
        <v>0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>
        <v>297854</v>
      </c>
      <c r="AA441" s="1">
        <v>0</v>
      </c>
    </row>
    <row r="442" spans="1:28" ht="33" customHeight="1">
      <c r="A442" s="76">
        <v>50</v>
      </c>
      <c r="B442" s="124" t="s">
        <v>393</v>
      </c>
      <c r="C442" s="1">
        <v>2001522.6700000002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0</v>
      </c>
      <c r="S442" s="1">
        <v>469.8</v>
      </c>
      <c r="T442" s="1">
        <v>1949165.81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>
        <v>52356.86</v>
      </c>
      <c r="AA442" s="1">
        <v>0</v>
      </c>
    </row>
    <row r="443" spans="1:28" ht="42" customHeight="1">
      <c r="A443" s="76">
        <v>51</v>
      </c>
      <c r="B443" s="124" t="s">
        <v>394</v>
      </c>
      <c r="C443" s="1">
        <v>1552498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820</v>
      </c>
      <c r="R443" s="1">
        <v>1465709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86789</v>
      </c>
      <c r="AA443" s="1">
        <v>0</v>
      </c>
    </row>
    <row r="444" spans="1:28" ht="40.5" customHeight="1">
      <c r="A444" s="76">
        <v>52</v>
      </c>
      <c r="B444" s="124" t="s">
        <v>604</v>
      </c>
      <c r="C444" s="1">
        <v>1713946.9500000002</v>
      </c>
      <c r="D444" s="1">
        <v>1630251.13</v>
      </c>
      <c r="E444" s="1">
        <v>0</v>
      </c>
      <c r="F444" s="1">
        <v>875975.52</v>
      </c>
      <c r="G444" s="1">
        <v>754275.61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>
        <v>83695.819999999992</v>
      </c>
      <c r="AA444" s="1">
        <v>0</v>
      </c>
    </row>
    <row r="445" spans="1:28" ht="36.75" customHeight="1">
      <c r="A445" s="76">
        <v>53</v>
      </c>
      <c r="B445" s="124" t="s">
        <v>395</v>
      </c>
      <c r="C445" s="1">
        <v>2263808.9699999997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477</v>
      </c>
      <c r="P445" s="1">
        <v>2160766.59</v>
      </c>
      <c r="Q445" s="1">
        <v>0</v>
      </c>
      <c r="R445" s="1">
        <v>0</v>
      </c>
      <c r="S445" s="1">
        <v>0</v>
      </c>
      <c r="T445" s="1">
        <v>0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>
        <v>103042.38</v>
      </c>
      <c r="AA445" s="1">
        <v>0</v>
      </c>
    </row>
    <row r="446" spans="1:28" ht="40.5" customHeight="1">
      <c r="A446" s="76">
        <v>54</v>
      </c>
      <c r="B446" s="124" t="s">
        <v>605</v>
      </c>
      <c r="C446" s="1">
        <v>2368102.7199999997</v>
      </c>
      <c r="D446" s="1">
        <v>2268829.48</v>
      </c>
      <c r="E446" s="1">
        <v>0</v>
      </c>
      <c r="F446" s="1">
        <v>0</v>
      </c>
      <c r="G446" s="1">
        <v>0</v>
      </c>
      <c r="H446" s="1">
        <v>1579989.56</v>
      </c>
      <c r="I446" s="1">
        <v>0</v>
      </c>
      <c r="J446" s="1">
        <v>688839.91999999993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>
        <v>0</v>
      </c>
      <c r="T446" s="1">
        <v>0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>
        <v>99273.24</v>
      </c>
      <c r="AA446" s="1">
        <v>0</v>
      </c>
    </row>
    <row r="447" spans="1:28" ht="33.75" customHeight="1">
      <c r="A447" s="76">
        <v>55</v>
      </c>
      <c r="B447" s="124" t="s">
        <v>396</v>
      </c>
      <c r="C447" s="1">
        <v>20381587.549999997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680</v>
      </c>
      <c r="P447" s="1">
        <v>3517905.88</v>
      </c>
      <c r="Q447" s="1">
        <v>0</v>
      </c>
      <c r="R447" s="1">
        <v>0</v>
      </c>
      <c r="S447" s="1">
        <v>3735</v>
      </c>
      <c r="T447" s="1">
        <v>5783565.9699999997</v>
      </c>
      <c r="U447" s="1">
        <v>2459.87</v>
      </c>
      <c r="V447" s="1">
        <v>10619080.699999999</v>
      </c>
      <c r="W447" s="1">
        <v>0</v>
      </c>
      <c r="X447" s="1">
        <v>0</v>
      </c>
      <c r="Y447" s="1">
        <v>0</v>
      </c>
      <c r="Z447" s="1">
        <v>461035</v>
      </c>
      <c r="AA447" s="1">
        <v>0</v>
      </c>
    </row>
    <row r="448" spans="1:28" ht="34.5" customHeight="1">
      <c r="A448" s="76">
        <v>56</v>
      </c>
      <c r="B448" s="121" t="s">
        <v>397</v>
      </c>
      <c r="C448" s="1">
        <v>1179853.5999999999</v>
      </c>
      <c r="D448" s="1">
        <v>1094155.1399999999</v>
      </c>
      <c r="E448" s="1">
        <v>0</v>
      </c>
      <c r="F448" s="1">
        <v>0</v>
      </c>
      <c r="G448" s="1">
        <v>1094155.1399999999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Q448" s="1">
        <v>0</v>
      </c>
      <c r="R448" s="1">
        <v>0</v>
      </c>
      <c r="S448" s="1">
        <v>0</v>
      </c>
      <c r="T448" s="1">
        <v>0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>
        <v>85698.46</v>
      </c>
      <c r="AA448" s="1">
        <v>0</v>
      </c>
    </row>
    <row r="449" spans="1:27" ht="42" customHeight="1">
      <c r="A449" s="76">
        <v>57</v>
      </c>
      <c r="B449" s="121" t="s">
        <v>398</v>
      </c>
      <c r="C449" s="1">
        <v>9785775.3000000007</v>
      </c>
      <c r="D449" s="1">
        <v>4213023.53</v>
      </c>
      <c r="E449" s="1">
        <v>0</v>
      </c>
      <c r="F449" s="1">
        <v>0</v>
      </c>
      <c r="G449" s="1">
        <v>1990923.2</v>
      </c>
      <c r="H449" s="1">
        <v>1547447.86</v>
      </c>
      <c r="I449" s="1">
        <v>0</v>
      </c>
      <c r="J449" s="1">
        <v>674652.47</v>
      </c>
      <c r="K449" s="1">
        <v>0</v>
      </c>
      <c r="L449" s="1">
        <v>0</v>
      </c>
      <c r="M449" s="1">
        <v>0</v>
      </c>
      <c r="N449" s="1">
        <v>0</v>
      </c>
      <c r="O449" s="1">
        <v>545.20000000000005</v>
      </c>
      <c r="P449" s="1">
        <v>5071390.32</v>
      </c>
      <c r="Q449" s="1">
        <v>0</v>
      </c>
      <c r="R449" s="1">
        <v>0</v>
      </c>
      <c r="S449" s="1">
        <v>0</v>
      </c>
      <c r="T449" s="1">
        <v>0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501361.45</v>
      </c>
      <c r="AA449" s="1">
        <v>0</v>
      </c>
    </row>
    <row r="450" spans="1:27" ht="36" customHeight="1">
      <c r="A450" s="76">
        <v>58</v>
      </c>
      <c r="B450" s="121" t="s">
        <v>606</v>
      </c>
      <c r="C450" s="1">
        <v>1217133.3500000001</v>
      </c>
      <c r="D450" s="1">
        <v>1128727.08</v>
      </c>
      <c r="E450" s="1">
        <v>0</v>
      </c>
      <c r="F450" s="1">
        <v>0</v>
      </c>
      <c r="G450" s="1">
        <v>1128727.08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v>0</v>
      </c>
      <c r="Q450" s="1">
        <v>0</v>
      </c>
      <c r="R450" s="1">
        <v>0</v>
      </c>
      <c r="S450" s="1">
        <v>0</v>
      </c>
      <c r="T450" s="1">
        <v>0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>
        <v>88406.27</v>
      </c>
      <c r="AA450" s="1">
        <v>0</v>
      </c>
    </row>
    <row r="451" spans="1:27" ht="33.75" customHeight="1">
      <c r="A451" s="76">
        <v>59</v>
      </c>
      <c r="B451" s="121" t="s">
        <v>607</v>
      </c>
      <c r="C451" s="1">
        <v>1240055.3599999999</v>
      </c>
      <c r="D451" s="1">
        <v>1149984.1499999999</v>
      </c>
      <c r="E451" s="1">
        <v>0</v>
      </c>
      <c r="F451" s="1">
        <v>0</v>
      </c>
      <c r="G451" s="1">
        <v>1149984.1499999999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v>0</v>
      </c>
      <c r="Q451" s="1">
        <v>0</v>
      </c>
      <c r="R451" s="1">
        <v>0</v>
      </c>
      <c r="S451" s="1">
        <v>0</v>
      </c>
      <c r="T451" s="1">
        <v>0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>
        <v>90071.21</v>
      </c>
      <c r="AA451" s="1">
        <v>0</v>
      </c>
    </row>
    <row r="452" spans="1:27" ht="34.5" customHeight="1">
      <c r="A452" s="76">
        <v>60</v>
      </c>
      <c r="B452" s="121" t="s">
        <v>563</v>
      </c>
      <c r="C452" s="1">
        <v>1376298</v>
      </c>
      <c r="D452" s="1">
        <v>0</v>
      </c>
      <c r="E452" s="1">
        <v>0</v>
      </c>
      <c r="F452" s="1">
        <v>0</v>
      </c>
      <c r="G452" s="1"/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1087</v>
      </c>
      <c r="P452" s="1">
        <v>1276331</v>
      </c>
      <c r="Q452" s="1">
        <v>0</v>
      </c>
      <c r="R452" s="1">
        <v>0</v>
      </c>
      <c r="S452" s="1">
        <v>0</v>
      </c>
      <c r="T452" s="1">
        <v>0</v>
      </c>
      <c r="U452" s="1">
        <v>0</v>
      </c>
      <c r="V452" s="1">
        <v>0</v>
      </c>
      <c r="W452" s="1">
        <v>0</v>
      </c>
      <c r="X452" s="1">
        <v>0</v>
      </c>
      <c r="Y452" s="1">
        <v>0</v>
      </c>
      <c r="Z452" s="1">
        <v>99967</v>
      </c>
      <c r="AA452" s="1">
        <v>0</v>
      </c>
    </row>
    <row r="453" spans="1:27" ht="40.5" customHeight="1">
      <c r="A453" s="76">
        <v>61</v>
      </c>
      <c r="B453" s="121" t="s">
        <v>553</v>
      </c>
      <c r="C453" s="1">
        <v>3793797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951</v>
      </c>
      <c r="P453" s="1">
        <v>3518235</v>
      </c>
      <c r="Q453" s="1">
        <v>0</v>
      </c>
      <c r="R453" s="1">
        <v>0</v>
      </c>
      <c r="S453" s="1">
        <v>0</v>
      </c>
      <c r="T453" s="1">
        <v>0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>
        <v>275562</v>
      </c>
      <c r="AA453" s="1">
        <v>0</v>
      </c>
    </row>
    <row r="454" spans="1:27" ht="33.75" customHeight="1">
      <c r="A454" s="76">
        <v>62</v>
      </c>
      <c r="B454" s="121" t="s">
        <v>856</v>
      </c>
      <c r="C454" s="1">
        <v>14378122.280000003</v>
      </c>
      <c r="D454" s="1">
        <v>13970673.870000003</v>
      </c>
      <c r="E454" s="1">
        <v>0</v>
      </c>
      <c r="F454" s="1">
        <v>5123737.8900000006</v>
      </c>
      <c r="G454" s="1">
        <v>4411893.28</v>
      </c>
      <c r="H454" s="1">
        <v>0</v>
      </c>
      <c r="I454" s="1">
        <v>3088518.21</v>
      </c>
      <c r="J454" s="1">
        <v>1346524.49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>
        <v>0</v>
      </c>
      <c r="R454" s="1">
        <v>0</v>
      </c>
      <c r="S454" s="1">
        <v>0</v>
      </c>
      <c r="T454" s="1">
        <v>0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>
        <v>407448.41000000003</v>
      </c>
      <c r="AA454" s="1">
        <v>0</v>
      </c>
    </row>
    <row r="455" spans="1:27" ht="36" customHeight="1">
      <c r="A455" s="76">
        <v>63</v>
      </c>
      <c r="B455" s="121" t="s">
        <v>857</v>
      </c>
      <c r="C455" s="1">
        <v>3159503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792</v>
      </c>
      <c r="P455" s="1">
        <v>2930013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>
        <v>229490</v>
      </c>
      <c r="AA455" s="1">
        <v>0</v>
      </c>
    </row>
    <row r="456" spans="1:27" ht="36.75" customHeight="1">
      <c r="A456" s="76">
        <v>64</v>
      </c>
      <c r="B456" s="121" t="s">
        <v>753</v>
      </c>
      <c r="C456" s="1">
        <v>1527891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413</v>
      </c>
      <c r="P456" s="1">
        <v>1416913</v>
      </c>
      <c r="Q456" s="1">
        <v>0</v>
      </c>
      <c r="R456" s="1">
        <v>0</v>
      </c>
      <c r="S456" s="1">
        <v>0</v>
      </c>
      <c r="T456" s="1">
        <v>0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>
        <v>110978</v>
      </c>
      <c r="AA456" s="1">
        <v>0</v>
      </c>
    </row>
    <row r="457" spans="1:27" ht="42" customHeight="1">
      <c r="A457" s="76">
        <v>65</v>
      </c>
      <c r="B457" s="121" t="s">
        <v>858</v>
      </c>
      <c r="C457" s="1">
        <v>21807140.439999998</v>
      </c>
      <c r="D457" s="1">
        <v>20223182.539999999</v>
      </c>
      <c r="E457" s="1">
        <v>0</v>
      </c>
      <c r="F457" s="1">
        <v>0</v>
      </c>
      <c r="G457" s="1">
        <v>20223182.539999999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v>0</v>
      </c>
      <c r="Q457" s="1">
        <v>0</v>
      </c>
      <c r="R457" s="1">
        <v>0</v>
      </c>
      <c r="S457" s="1">
        <v>0</v>
      </c>
      <c r="T457" s="1">
        <v>0</v>
      </c>
      <c r="U457" s="1">
        <v>0</v>
      </c>
      <c r="V457" s="1">
        <v>0</v>
      </c>
      <c r="W457" s="1">
        <v>0</v>
      </c>
      <c r="X457" s="1">
        <v>0</v>
      </c>
      <c r="Y457" s="1">
        <v>0</v>
      </c>
      <c r="Z457" s="1">
        <v>1583957.9</v>
      </c>
      <c r="AA457" s="1">
        <v>0</v>
      </c>
    </row>
    <row r="458" spans="1:27" ht="36.75" customHeight="1">
      <c r="A458" s="76">
        <v>66</v>
      </c>
      <c r="B458" s="121" t="s">
        <v>402</v>
      </c>
      <c r="C458" s="1">
        <v>2247588.48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413</v>
      </c>
      <c r="P458" s="1">
        <v>2136610.48</v>
      </c>
      <c r="Q458" s="1">
        <v>0</v>
      </c>
      <c r="R458" s="1">
        <v>0</v>
      </c>
      <c r="S458" s="1">
        <v>0</v>
      </c>
      <c r="T458" s="1">
        <v>0</v>
      </c>
      <c r="U458" s="1">
        <v>0</v>
      </c>
      <c r="V458" s="1">
        <v>0</v>
      </c>
      <c r="W458" s="1">
        <v>0</v>
      </c>
      <c r="X458" s="1">
        <v>0</v>
      </c>
      <c r="Y458" s="1">
        <v>0</v>
      </c>
      <c r="Z458" s="1">
        <v>110978</v>
      </c>
      <c r="AA458" s="1">
        <v>0</v>
      </c>
    </row>
    <row r="459" spans="1:27" ht="39" customHeight="1">
      <c r="A459" s="76">
        <v>67</v>
      </c>
      <c r="B459" s="124" t="s">
        <v>755</v>
      </c>
      <c r="C459" s="1">
        <v>1223262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450.2</v>
      </c>
      <c r="P459" s="1">
        <v>1134411</v>
      </c>
      <c r="Q459" s="1">
        <v>0</v>
      </c>
      <c r="R459" s="1">
        <v>0</v>
      </c>
      <c r="S459" s="1">
        <v>0</v>
      </c>
      <c r="T459" s="1">
        <v>0</v>
      </c>
      <c r="U459" s="1">
        <v>0</v>
      </c>
      <c r="V459" s="1">
        <v>0</v>
      </c>
      <c r="W459" s="1">
        <v>0</v>
      </c>
      <c r="X459" s="1">
        <v>0</v>
      </c>
      <c r="Y459" s="1">
        <v>0</v>
      </c>
      <c r="Z459" s="1">
        <v>88851</v>
      </c>
      <c r="AA459" s="1">
        <v>0</v>
      </c>
    </row>
    <row r="460" spans="1:27" ht="39" customHeight="1">
      <c r="A460" s="76">
        <v>68</v>
      </c>
      <c r="B460" s="124" t="s">
        <v>403</v>
      </c>
      <c r="C460" s="1">
        <v>31491280.550000001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">
        <v>2415.5500000000002</v>
      </c>
      <c r="T460" s="1">
        <v>31200007.550000001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>
        <v>291273</v>
      </c>
      <c r="AA460" s="1">
        <v>0</v>
      </c>
    </row>
    <row r="461" spans="1:27" ht="36" customHeight="1">
      <c r="A461" s="76">
        <v>69</v>
      </c>
      <c r="B461" s="124" t="s">
        <v>859</v>
      </c>
      <c r="C461" s="1">
        <v>4985158.5599999996</v>
      </c>
      <c r="D461" s="1">
        <v>4623062.42</v>
      </c>
      <c r="E461" s="1">
        <v>0</v>
      </c>
      <c r="F461" s="1">
        <v>0</v>
      </c>
      <c r="G461" s="1">
        <v>4623062.42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1">
        <v>0</v>
      </c>
      <c r="U461" s="1">
        <v>0</v>
      </c>
      <c r="V461" s="1">
        <v>0</v>
      </c>
      <c r="W461" s="1">
        <v>0</v>
      </c>
      <c r="X461" s="1">
        <v>0</v>
      </c>
      <c r="Y461" s="1">
        <v>0</v>
      </c>
      <c r="Z461" s="1">
        <v>362096.14</v>
      </c>
      <c r="AA461" s="1">
        <v>0</v>
      </c>
    </row>
    <row r="462" spans="1:27" ht="41.25" customHeight="1">
      <c r="A462" s="76">
        <v>70</v>
      </c>
      <c r="B462" s="124" t="s">
        <v>404</v>
      </c>
      <c r="C462" s="1">
        <v>326653.44</v>
      </c>
      <c r="D462" s="1">
        <v>302927.02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302927.02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0</v>
      </c>
      <c r="S462" s="1">
        <v>0</v>
      </c>
      <c r="T462" s="1">
        <v>0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>
        <v>23726.42</v>
      </c>
      <c r="AA462" s="1">
        <v>0</v>
      </c>
    </row>
    <row r="463" spans="1:27" ht="33.75" customHeight="1">
      <c r="A463" s="76">
        <v>71</v>
      </c>
      <c r="B463" s="124" t="s">
        <v>757</v>
      </c>
      <c r="C463" s="1">
        <v>2223266.4499999997</v>
      </c>
      <c r="D463" s="1">
        <v>541762.10000000009</v>
      </c>
      <c r="E463" s="1">
        <v>0</v>
      </c>
      <c r="F463" s="1">
        <v>0</v>
      </c>
      <c r="G463" s="1">
        <v>0</v>
      </c>
      <c r="H463" s="1">
        <v>541762.10000000009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390</v>
      </c>
      <c r="T463" s="1">
        <v>1618081.45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>
        <v>63422.9</v>
      </c>
      <c r="AA463" s="1">
        <v>0</v>
      </c>
    </row>
    <row r="464" spans="1:27" ht="34.5" customHeight="1">
      <c r="A464" s="76">
        <v>72</v>
      </c>
      <c r="B464" s="124" t="s">
        <v>405</v>
      </c>
      <c r="C464" s="1">
        <v>4682809.62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>
        <v>1078.44</v>
      </c>
      <c r="T464" s="1">
        <v>4474368.62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>
        <v>208441</v>
      </c>
      <c r="AA464" s="1">
        <v>0</v>
      </c>
    </row>
    <row r="465" spans="1:27" ht="34.5" customHeight="1">
      <c r="A465" s="76">
        <v>73</v>
      </c>
      <c r="B465" s="124" t="s">
        <v>406</v>
      </c>
      <c r="C465" s="1">
        <v>1532993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576.1</v>
      </c>
      <c r="T465" s="1">
        <v>1421644</v>
      </c>
      <c r="U465" s="1">
        <v>0</v>
      </c>
      <c r="V465" s="1">
        <v>0</v>
      </c>
      <c r="W465" s="1">
        <v>0</v>
      </c>
      <c r="X465" s="1">
        <v>0</v>
      </c>
      <c r="Y465" s="1">
        <v>0</v>
      </c>
      <c r="Z465" s="1">
        <v>111349</v>
      </c>
      <c r="AA465" s="1">
        <v>0</v>
      </c>
    </row>
    <row r="466" spans="1:27" ht="36" customHeight="1">
      <c r="A466" s="76">
        <v>74</v>
      </c>
      <c r="B466" s="124" t="s">
        <v>407</v>
      </c>
      <c r="C466" s="1">
        <v>3353338.96</v>
      </c>
      <c r="D466" s="1">
        <v>3109769.76</v>
      </c>
      <c r="E466" s="1">
        <v>0</v>
      </c>
      <c r="F466" s="1">
        <v>0</v>
      </c>
      <c r="G466" s="1">
        <v>0</v>
      </c>
      <c r="H466" s="1">
        <v>3109769.76</v>
      </c>
      <c r="I466" s="1">
        <v>0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  <c r="Q466" s="1">
        <v>0</v>
      </c>
      <c r="R466" s="1">
        <v>0</v>
      </c>
      <c r="S466" s="1">
        <v>0</v>
      </c>
      <c r="T466" s="1">
        <v>0</v>
      </c>
      <c r="U466" s="1">
        <v>0</v>
      </c>
      <c r="V466" s="1">
        <v>0</v>
      </c>
      <c r="W466" s="1">
        <v>0</v>
      </c>
      <c r="X466" s="1">
        <v>0</v>
      </c>
      <c r="Y466" s="1">
        <v>0</v>
      </c>
      <c r="Z466" s="1">
        <v>243569.2</v>
      </c>
      <c r="AA466" s="1">
        <v>0</v>
      </c>
    </row>
    <row r="467" spans="1:27" ht="36" customHeight="1">
      <c r="A467" s="76">
        <v>75</v>
      </c>
      <c r="B467" s="124" t="s">
        <v>408</v>
      </c>
      <c r="C467" s="1">
        <v>2589668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v>0</v>
      </c>
      <c r="Q467" s="1">
        <v>0</v>
      </c>
      <c r="R467" s="1">
        <v>0</v>
      </c>
      <c r="S467" s="1">
        <v>973.2</v>
      </c>
      <c r="T467" s="1">
        <v>2401568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>
        <v>188100</v>
      </c>
      <c r="AA467" s="1">
        <v>0</v>
      </c>
    </row>
    <row r="468" spans="1:27" ht="34.5" customHeight="1">
      <c r="A468" s="76">
        <v>76</v>
      </c>
      <c r="B468" s="124" t="s">
        <v>409</v>
      </c>
      <c r="C468" s="1">
        <v>1752886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517.9</v>
      </c>
      <c r="P468" s="1">
        <v>1625565</v>
      </c>
      <c r="Q468" s="1">
        <v>0</v>
      </c>
      <c r="R468" s="1">
        <v>0</v>
      </c>
      <c r="S468" s="1">
        <v>0</v>
      </c>
      <c r="T468" s="1">
        <v>0</v>
      </c>
      <c r="U468" s="1">
        <v>0</v>
      </c>
      <c r="V468" s="1">
        <v>0</v>
      </c>
      <c r="W468" s="1">
        <v>0</v>
      </c>
      <c r="X468" s="1">
        <v>0</v>
      </c>
      <c r="Y468" s="1">
        <v>0</v>
      </c>
      <c r="Z468" s="1">
        <v>127321</v>
      </c>
      <c r="AA468" s="1">
        <v>0</v>
      </c>
    </row>
    <row r="469" spans="1:27" ht="36.75" customHeight="1">
      <c r="A469" s="76">
        <v>77</v>
      </c>
      <c r="B469" s="124" t="s">
        <v>410</v>
      </c>
      <c r="C469" s="1">
        <f>D469+L469+N469+P469+R469+T469+V469+X469+Y469+Z469+AA469</f>
        <v>2125966.11</v>
      </c>
      <c r="D469" s="1">
        <f>E469+F469+G469+H469+I469+J469</f>
        <v>1467438.64</v>
      </c>
      <c r="E469" s="1">
        <v>0</v>
      </c>
      <c r="F469" s="1">
        <v>0</v>
      </c>
      <c r="G469" s="1">
        <v>1467438.64</v>
      </c>
      <c r="H469" s="1">
        <v>0</v>
      </c>
      <c r="I469" s="1">
        <v>0</v>
      </c>
      <c r="J469" s="1">
        <v>0</v>
      </c>
      <c r="K469" s="1">
        <v>2</v>
      </c>
      <c r="L469" s="1">
        <v>504109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0</v>
      </c>
      <c r="T469" s="1">
        <v>0</v>
      </c>
      <c r="U469" s="1">
        <v>0</v>
      </c>
      <c r="V469" s="1">
        <v>0</v>
      </c>
      <c r="W469" s="1">
        <v>0</v>
      </c>
      <c r="X469" s="1">
        <v>0</v>
      </c>
      <c r="Y469" s="1">
        <v>0</v>
      </c>
      <c r="Z469" s="1">
        <v>154418.47</v>
      </c>
      <c r="AA469" s="1">
        <v>0</v>
      </c>
    </row>
    <row r="470" spans="1:27" ht="33" customHeight="1">
      <c r="A470" s="76">
        <v>78</v>
      </c>
      <c r="B470" s="124" t="s">
        <v>877</v>
      </c>
      <c r="C470" s="1">
        <v>6099267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1">
        <v>0</v>
      </c>
      <c r="S470" s="1">
        <v>0</v>
      </c>
      <c r="T470" s="1">
        <v>0</v>
      </c>
      <c r="U470" s="1">
        <v>1180</v>
      </c>
      <c r="V470" s="1">
        <v>5656248</v>
      </c>
      <c r="W470" s="1">
        <v>0</v>
      </c>
      <c r="X470" s="1">
        <v>0</v>
      </c>
      <c r="Y470" s="1">
        <v>0</v>
      </c>
      <c r="Z470" s="1">
        <v>443019</v>
      </c>
      <c r="AA470" s="1">
        <v>0</v>
      </c>
    </row>
    <row r="471" spans="1:27" ht="40.5" customHeight="1">
      <c r="A471" s="76">
        <v>79</v>
      </c>
      <c r="B471" s="124" t="s">
        <v>411</v>
      </c>
      <c r="C471" s="1">
        <v>16074062.5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0</v>
      </c>
      <c r="R471" s="1">
        <v>0</v>
      </c>
      <c r="S471" s="1">
        <v>0</v>
      </c>
      <c r="T471" s="1">
        <v>0</v>
      </c>
      <c r="U471" s="1">
        <v>2810.6</v>
      </c>
      <c r="V471" s="1">
        <v>15124800.5</v>
      </c>
      <c r="W471" s="1">
        <v>0</v>
      </c>
      <c r="X471" s="1">
        <v>0</v>
      </c>
      <c r="Y471" s="1">
        <v>0</v>
      </c>
      <c r="Z471" s="1">
        <v>949262</v>
      </c>
      <c r="AA471" s="1">
        <v>0</v>
      </c>
    </row>
    <row r="472" spans="1:27" ht="38.25" customHeight="1">
      <c r="A472" s="76">
        <v>80</v>
      </c>
      <c r="B472" s="124" t="s">
        <v>878</v>
      </c>
      <c r="C472" s="1">
        <v>1905549.21</v>
      </c>
      <c r="D472" s="1">
        <v>1767139.97</v>
      </c>
      <c r="E472" s="1">
        <v>0</v>
      </c>
      <c r="F472" s="1">
        <v>0</v>
      </c>
      <c r="G472" s="1">
        <v>1767139.97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  <c r="Q472" s="1">
        <v>0</v>
      </c>
      <c r="R472" s="1">
        <v>0</v>
      </c>
      <c r="S472" s="1">
        <v>0</v>
      </c>
      <c r="T472" s="1">
        <v>0</v>
      </c>
      <c r="U472" s="1">
        <v>0</v>
      </c>
      <c r="V472" s="1">
        <v>0</v>
      </c>
      <c r="W472" s="1">
        <v>0</v>
      </c>
      <c r="X472" s="1">
        <v>0</v>
      </c>
      <c r="Y472" s="1">
        <v>0</v>
      </c>
      <c r="Z472" s="1">
        <v>138409.24</v>
      </c>
      <c r="AA472" s="1">
        <v>0</v>
      </c>
    </row>
    <row r="473" spans="1:27" ht="41.25" customHeight="1">
      <c r="A473" s="76">
        <v>81</v>
      </c>
      <c r="B473" s="124" t="s">
        <v>761</v>
      </c>
      <c r="C473" s="1">
        <v>2423166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v>0</v>
      </c>
      <c r="Q473" s="1">
        <v>0</v>
      </c>
      <c r="R473" s="1">
        <v>0</v>
      </c>
      <c r="S473" s="1">
        <v>0</v>
      </c>
      <c r="T473" s="1">
        <v>0</v>
      </c>
      <c r="U473" s="1">
        <v>486.8</v>
      </c>
      <c r="V473" s="1">
        <v>2247160</v>
      </c>
      <c r="W473" s="1">
        <v>0</v>
      </c>
      <c r="X473" s="1">
        <v>0</v>
      </c>
      <c r="Y473" s="1">
        <v>0</v>
      </c>
      <c r="Z473" s="1">
        <v>176006</v>
      </c>
      <c r="AA473" s="1">
        <v>0</v>
      </c>
    </row>
    <row r="474" spans="1:27" ht="33.75" customHeight="1">
      <c r="A474" s="76">
        <v>82</v>
      </c>
      <c r="B474" s="124" t="s">
        <v>412</v>
      </c>
      <c r="C474" s="1">
        <v>910743.78</v>
      </c>
      <c r="D474" s="1">
        <v>859802.26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859802.26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0</v>
      </c>
      <c r="R474" s="1">
        <v>0</v>
      </c>
      <c r="S474" s="1">
        <v>0</v>
      </c>
      <c r="T474" s="1">
        <v>0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1">
        <v>50941.52</v>
      </c>
      <c r="AA474" s="1">
        <v>0</v>
      </c>
    </row>
    <row r="475" spans="1:27" ht="43.5" customHeight="1">
      <c r="A475" s="76">
        <v>83</v>
      </c>
      <c r="B475" s="124" t="s">
        <v>611</v>
      </c>
      <c r="C475" s="1">
        <v>543592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2</v>
      </c>
      <c r="L475" s="1">
        <v>504109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1">
        <v>0</v>
      </c>
      <c r="S475" s="1">
        <v>0</v>
      </c>
      <c r="T475" s="1">
        <v>0</v>
      </c>
      <c r="U475" s="1">
        <v>0</v>
      </c>
      <c r="V475" s="1">
        <v>0</v>
      </c>
      <c r="W475" s="1">
        <v>0</v>
      </c>
      <c r="X475" s="1">
        <v>0</v>
      </c>
      <c r="Y475" s="1">
        <v>0</v>
      </c>
      <c r="Z475" s="1">
        <v>39483</v>
      </c>
      <c r="AA475" s="1">
        <v>0</v>
      </c>
    </row>
    <row r="476" spans="1:27" ht="42" customHeight="1">
      <c r="A476" s="76">
        <v>84</v>
      </c>
      <c r="B476" s="124" t="s">
        <v>879</v>
      </c>
      <c r="C476" s="1">
        <v>9931333.4199999999</v>
      </c>
      <c r="D476" s="1">
        <v>9562925.4199999999</v>
      </c>
      <c r="E476" s="1">
        <v>0</v>
      </c>
      <c r="F476" s="1">
        <v>9562925.4199999999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  <c r="Q476" s="1">
        <v>0</v>
      </c>
      <c r="R476" s="1">
        <v>0</v>
      </c>
      <c r="S476" s="1">
        <v>0</v>
      </c>
      <c r="T476" s="1">
        <v>0</v>
      </c>
      <c r="U476" s="1">
        <v>0</v>
      </c>
      <c r="V476" s="1">
        <v>0</v>
      </c>
      <c r="W476" s="1">
        <v>0</v>
      </c>
      <c r="X476" s="1">
        <v>0</v>
      </c>
      <c r="Y476" s="1">
        <v>0</v>
      </c>
      <c r="Z476" s="1">
        <v>368408</v>
      </c>
      <c r="AA476" s="1">
        <v>0</v>
      </c>
    </row>
    <row r="477" spans="1:27" ht="41.25" customHeight="1">
      <c r="A477" s="76">
        <v>85</v>
      </c>
      <c r="B477" s="124" t="s">
        <v>763</v>
      </c>
      <c r="C477" s="1">
        <v>18775739.449999999</v>
      </c>
      <c r="D477" s="1">
        <v>7069747.2599999998</v>
      </c>
      <c r="E477" s="1">
        <v>0</v>
      </c>
      <c r="F477" s="1">
        <v>7069747.2599999998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v>0</v>
      </c>
      <c r="Q477" s="1">
        <v>0</v>
      </c>
      <c r="R477" s="1">
        <v>0</v>
      </c>
      <c r="S477" s="1">
        <v>0</v>
      </c>
      <c r="T477" s="1">
        <v>0</v>
      </c>
      <c r="U477" s="1">
        <v>1852.01</v>
      </c>
      <c r="V477" s="1">
        <v>10839683.189999999</v>
      </c>
      <c r="W477" s="1">
        <v>0</v>
      </c>
      <c r="X477" s="1">
        <v>0</v>
      </c>
      <c r="Y477" s="1">
        <v>0</v>
      </c>
      <c r="Z477" s="1">
        <v>866309</v>
      </c>
      <c r="AA477" s="1">
        <v>0</v>
      </c>
    </row>
    <row r="478" spans="1:27" ht="34.5" customHeight="1">
      <c r="A478" s="76">
        <v>86</v>
      </c>
      <c r="B478" s="124" t="s">
        <v>764</v>
      </c>
      <c r="C478" s="1">
        <v>70357</v>
      </c>
      <c r="D478" s="1">
        <v>0</v>
      </c>
      <c r="E478" s="1">
        <v>0</v>
      </c>
      <c r="F478" s="1">
        <v>0</v>
      </c>
      <c r="G478" s="1">
        <v>0</v>
      </c>
      <c r="H478" s="1">
        <v>0</v>
      </c>
      <c r="I478" s="1">
        <v>0</v>
      </c>
      <c r="J478" s="1">
        <v>0</v>
      </c>
      <c r="K478" s="1">
        <v>1</v>
      </c>
      <c r="L478" s="1">
        <v>65247</v>
      </c>
      <c r="M478" s="1">
        <v>0</v>
      </c>
      <c r="N478" s="1">
        <v>0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  <c r="Y478" s="1">
        <v>0</v>
      </c>
      <c r="Z478" s="1">
        <v>5110</v>
      </c>
      <c r="AA478" s="1">
        <v>0</v>
      </c>
    </row>
    <row r="479" spans="1:27" ht="36.75" customHeight="1">
      <c r="A479" s="76">
        <v>87</v>
      </c>
      <c r="B479" s="124" t="s">
        <v>762</v>
      </c>
      <c r="C479" s="1">
        <v>551566.66</v>
      </c>
      <c r="D479" s="1">
        <v>515311.01</v>
      </c>
      <c r="E479" s="1">
        <v>0</v>
      </c>
      <c r="F479" s="1">
        <v>0</v>
      </c>
      <c r="G479" s="1">
        <v>0</v>
      </c>
      <c r="H479" s="1">
        <v>0</v>
      </c>
      <c r="I479" s="1">
        <v>0</v>
      </c>
      <c r="J479" s="1">
        <v>515311.01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v>0</v>
      </c>
      <c r="Q479" s="1">
        <v>0</v>
      </c>
      <c r="R479" s="1">
        <v>0</v>
      </c>
      <c r="S479" s="1">
        <v>0</v>
      </c>
      <c r="T479" s="1">
        <v>0</v>
      </c>
      <c r="U479" s="1">
        <v>0</v>
      </c>
      <c r="V479" s="1">
        <v>0</v>
      </c>
      <c r="W479" s="1">
        <v>0</v>
      </c>
      <c r="X479" s="1">
        <v>0</v>
      </c>
      <c r="Y479" s="1">
        <v>0</v>
      </c>
      <c r="Z479" s="1">
        <v>36255.65</v>
      </c>
      <c r="AA479" s="1">
        <v>0</v>
      </c>
    </row>
    <row r="480" spans="1:27" ht="40.5" customHeight="1">
      <c r="A480" s="76">
        <v>88</v>
      </c>
      <c r="B480" s="121" t="s">
        <v>612</v>
      </c>
      <c r="C480" s="1">
        <v>5125635.79</v>
      </c>
      <c r="D480" s="1">
        <v>4171681.55</v>
      </c>
      <c r="E480" s="1">
        <v>0</v>
      </c>
      <c r="F480" s="1">
        <v>1034915.16</v>
      </c>
      <c r="G480" s="1">
        <v>1464635.51</v>
      </c>
      <c r="H480" s="1">
        <v>635294.46</v>
      </c>
      <c r="I480" s="1">
        <v>635294.46</v>
      </c>
      <c r="J480" s="1">
        <v>401541.96</v>
      </c>
      <c r="K480" s="1">
        <v>3</v>
      </c>
      <c r="L480" s="1">
        <v>581655</v>
      </c>
      <c r="M480" s="1">
        <v>0</v>
      </c>
      <c r="N480" s="1">
        <v>0</v>
      </c>
      <c r="O480" s="1">
        <v>0</v>
      </c>
      <c r="P480" s="1">
        <v>0</v>
      </c>
      <c r="Q480" s="1">
        <v>0</v>
      </c>
      <c r="R480" s="1">
        <v>0</v>
      </c>
      <c r="S480" s="1">
        <v>0</v>
      </c>
      <c r="T480" s="1">
        <v>0</v>
      </c>
      <c r="U480" s="1">
        <v>0</v>
      </c>
      <c r="V480" s="1">
        <v>0</v>
      </c>
      <c r="W480" s="1">
        <v>0</v>
      </c>
      <c r="X480" s="1">
        <v>0</v>
      </c>
      <c r="Y480" s="1">
        <v>0</v>
      </c>
      <c r="Z480" s="1">
        <v>372299.24</v>
      </c>
      <c r="AA480" s="1">
        <v>0</v>
      </c>
    </row>
    <row r="481" spans="1:27" ht="48.75" customHeight="1">
      <c r="A481" s="76">
        <v>89</v>
      </c>
      <c r="B481" s="121" t="s">
        <v>414</v>
      </c>
      <c r="C481" s="1">
        <v>8137065.8200000003</v>
      </c>
      <c r="D481" s="1">
        <v>6964376.8799999999</v>
      </c>
      <c r="E481" s="1">
        <v>0</v>
      </c>
      <c r="F481" s="1">
        <v>0</v>
      </c>
      <c r="G481" s="1">
        <v>6964376.8799999999</v>
      </c>
      <c r="H481" s="1">
        <v>0</v>
      </c>
      <c r="I481" s="1">
        <v>0</v>
      </c>
      <c r="J481" s="1">
        <v>0</v>
      </c>
      <c r="K481" s="1">
        <v>3</v>
      </c>
      <c r="L481" s="1">
        <v>581655</v>
      </c>
      <c r="M481" s="1">
        <v>0</v>
      </c>
      <c r="N481" s="1">
        <v>0</v>
      </c>
      <c r="O481" s="1">
        <v>0</v>
      </c>
      <c r="P481" s="1">
        <v>0</v>
      </c>
      <c r="Q481" s="1">
        <v>0</v>
      </c>
      <c r="R481" s="1">
        <v>0</v>
      </c>
      <c r="S481" s="1">
        <v>0</v>
      </c>
      <c r="T481" s="1">
        <v>0</v>
      </c>
      <c r="U481" s="1">
        <v>0</v>
      </c>
      <c r="V481" s="1">
        <v>0</v>
      </c>
      <c r="W481" s="1">
        <v>0</v>
      </c>
      <c r="X481" s="1">
        <v>0</v>
      </c>
      <c r="Y481" s="1">
        <v>0</v>
      </c>
      <c r="Z481" s="1">
        <v>591033.93999999994</v>
      </c>
      <c r="AA481" s="1">
        <v>0</v>
      </c>
    </row>
    <row r="482" spans="1:27" ht="112.5" customHeight="1">
      <c r="A482" s="76">
        <v>90</v>
      </c>
      <c r="B482" s="121" t="s">
        <v>415</v>
      </c>
      <c r="C482" s="1">
        <v>19915470.27</v>
      </c>
      <c r="D482" s="1">
        <v>4381991.8899999997</v>
      </c>
      <c r="E482" s="1">
        <v>1190394.6099999999</v>
      </c>
      <c r="F482" s="1">
        <v>0</v>
      </c>
      <c r="G482" s="1">
        <v>3191597.28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  <c r="Q482" s="1">
        <v>1004.2</v>
      </c>
      <c r="R482" s="1">
        <v>1707773.65</v>
      </c>
      <c r="S482" s="1">
        <v>0</v>
      </c>
      <c r="T482" s="1">
        <v>0</v>
      </c>
      <c r="U482" s="1">
        <v>1380</v>
      </c>
      <c r="V482" s="1">
        <v>12303969.050000001</v>
      </c>
      <c r="W482" s="1">
        <v>0</v>
      </c>
      <c r="X482" s="1" t="s">
        <v>262</v>
      </c>
      <c r="Y482" s="1">
        <v>0</v>
      </c>
      <c r="Z482" s="1">
        <v>1521735.6799999999</v>
      </c>
      <c r="AA482" s="1">
        <v>0</v>
      </c>
    </row>
    <row r="483" spans="1:27" ht="34.5" customHeight="1">
      <c r="A483" s="76">
        <v>91</v>
      </c>
      <c r="B483" s="121" t="s">
        <v>613</v>
      </c>
      <c r="C483" s="1">
        <v>1326325.3199999998</v>
      </c>
      <c r="D483" s="1">
        <v>901206.35</v>
      </c>
      <c r="E483" s="1">
        <v>0</v>
      </c>
      <c r="F483" s="1">
        <v>0</v>
      </c>
      <c r="G483" s="1">
        <v>901206.35</v>
      </c>
      <c r="H483" s="1">
        <v>0</v>
      </c>
      <c r="I483" s="1">
        <v>0</v>
      </c>
      <c r="J483" s="1">
        <v>0</v>
      </c>
      <c r="K483" s="1">
        <v>1</v>
      </c>
      <c r="L483" s="1">
        <v>328782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0</v>
      </c>
      <c r="S483" s="1">
        <v>0</v>
      </c>
      <c r="T483" s="1">
        <v>0</v>
      </c>
      <c r="U483" s="1">
        <v>0</v>
      </c>
      <c r="V483" s="1">
        <v>0</v>
      </c>
      <c r="W483" s="1">
        <v>0</v>
      </c>
      <c r="X483" s="1">
        <v>0</v>
      </c>
      <c r="Y483" s="1">
        <v>0</v>
      </c>
      <c r="Z483" s="1">
        <v>96336.97</v>
      </c>
      <c r="AA483" s="1">
        <v>0</v>
      </c>
    </row>
    <row r="484" spans="1:27" ht="33.75" customHeight="1">
      <c r="A484" s="76">
        <v>92</v>
      </c>
      <c r="B484" s="121" t="s">
        <v>416</v>
      </c>
      <c r="C484" s="1">
        <v>438153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2</v>
      </c>
      <c r="L484" s="1">
        <v>406328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  <c r="R484" s="1">
        <v>0</v>
      </c>
      <c r="S484" s="1">
        <v>0</v>
      </c>
      <c r="T484" s="1">
        <v>0</v>
      </c>
      <c r="U484" s="1">
        <v>0</v>
      </c>
      <c r="V484" s="1">
        <v>0</v>
      </c>
      <c r="W484" s="1">
        <v>0</v>
      </c>
      <c r="X484" s="1">
        <v>0</v>
      </c>
      <c r="Y484" s="1">
        <v>0</v>
      </c>
      <c r="Z484" s="1">
        <v>31825</v>
      </c>
      <c r="AA484" s="1">
        <v>0</v>
      </c>
    </row>
    <row r="485" spans="1:27" ht="34.5" customHeight="1">
      <c r="A485" s="76">
        <v>93</v>
      </c>
      <c r="B485" s="121" t="s">
        <v>417</v>
      </c>
      <c r="C485" s="1">
        <v>9462253.5800000001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1</v>
      </c>
      <c r="L485" s="1">
        <v>77546</v>
      </c>
      <c r="M485" s="1">
        <v>0</v>
      </c>
      <c r="N485" s="1">
        <v>0</v>
      </c>
      <c r="O485" s="1">
        <v>0</v>
      </c>
      <c r="P485" s="1">
        <v>0</v>
      </c>
      <c r="Q485" s="1">
        <v>0</v>
      </c>
      <c r="R485" s="1">
        <v>0</v>
      </c>
      <c r="S485" s="1">
        <v>0</v>
      </c>
      <c r="T485" s="1">
        <v>0</v>
      </c>
      <c r="U485" s="1">
        <v>1548.4</v>
      </c>
      <c r="V485" s="1">
        <v>8835515.9600000009</v>
      </c>
      <c r="W485" s="1">
        <v>0</v>
      </c>
      <c r="X485" s="1">
        <v>0</v>
      </c>
      <c r="Y485" s="1">
        <v>0</v>
      </c>
      <c r="Z485" s="1">
        <v>549191.62</v>
      </c>
      <c r="AA485" s="1">
        <v>0</v>
      </c>
    </row>
    <row r="486" spans="1:27" ht="33" customHeight="1">
      <c r="A486" s="76">
        <v>94</v>
      </c>
      <c r="B486" s="121" t="s">
        <v>418</v>
      </c>
      <c r="C486" s="1">
        <v>7085569.8200000003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v>0</v>
      </c>
      <c r="Q486" s="1">
        <v>0</v>
      </c>
      <c r="R486" s="1">
        <v>0</v>
      </c>
      <c r="S486" s="1">
        <v>0</v>
      </c>
      <c r="T486" s="1">
        <v>0</v>
      </c>
      <c r="U486" s="1">
        <v>1164</v>
      </c>
      <c r="V486" s="1">
        <v>6717076.0800000001</v>
      </c>
      <c r="W486" s="1">
        <v>0</v>
      </c>
      <c r="X486" s="1">
        <v>0</v>
      </c>
      <c r="Y486" s="1">
        <v>0</v>
      </c>
      <c r="Z486" s="1">
        <v>368493.74</v>
      </c>
      <c r="AA486" s="1">
        <v>0</v>
      </c>
    </row>
    <row r="487" spans="1:27" ht="45.75" customHeight="1">
      <c r="A487" s="76">
        <v>95</v>
      </c>
      <c r="B487" s="121" t="s">
        <v>419</v>
      </c>
      <c r="C487" s="1">
        <v>158366868.72</v>
      </c>
      <c r="D487" s="1">
        <v>4033512.61</v>
      </c>
      <c r="E487" s="1">
        <v>4033512.61</v>
      </c>
      <c r="F487" s="1">
        <v>0</v>
      </c>
      <c r="G487" s="1">
        <v>0</v>
      </c>
      <c r="H487" s="1">
        <v>0</v>
      </c>
      <c r="I487" s="1">
        <v>0</v>
      </c>
      <c r="J487" s="1">
        <v>0</v>
      </c>
      <c r="K487" s="1">
        <v>0</v>
      </c>
      <c r="L487" s="1">
        <v>0</v>
      </c>
      <c r="M487" s="1">
        <v>0</v>
      </c>
      <c r="N487" s="1">
        <v>0</v>
      </c>
      <c r="O487" s="1">
        <v>1303.42</v>
      </c>
      <c r="P487" s="1">
        <v>41716126.369999997</v>
      </c>
      <c r="Q487" s="1">
        <v>0</v>
      </c>
      <c r="R487" s="1">
        <v>0</v>
      </c>
      <c r="S487" s="1">
        <v>3172.33</v>
      </c>
      <c r="T487" s="1">
        <v>101622188.18000001</v>
      </c>
      <c r="U487" s="1">
        <v>0</v>
      </c>
      <c r="V487" s="1">
        <v>0</v>
      </c>
      <c r="W487" s="1">
        <v>0</v>
      </c>
      <c r="X487" s="1">
        <v>0</v>
      </c>
      <c r="Y487" s="1">
        <v>0</v>
      </c>
      <c r="Z487" s="1">
        <v>10995041.560000001</v>
      </c>
      <c r="AA487" s="1">
        <v>0</v>
      </c>
    </row>
    <row r="488" spans="1:27" ht="41.25" customHeight="1">
      <c r="A488" s="76">
        <v>96</v>
      </c>
      <c r="B488" s="124" t="s">
        <v>420</v>
      </c>
      <c r="C488" s="1">
        <v>2580898.3899999997</v>
      </c>
      <c r="D488" s="1">
        <v>0</v>
      </c>
      <c r="E488" s="1">
        <v>0</v>
      </c>
      <c r="F488" s="1">
        <v>0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  <c r="O488" s="1">
        <v>0</v>
      </c>
      <c r="P488" s="1">
        <v>0</v>
      </c>
      <c r="Q488" s="1">
        <v>0</v>
      </c>
      <c r="R488" s="1">
        <v>0</v>
      </c>
      <c r="S488" s="1">
        <v>554.1</v>
      </c>
      <c r="T488" s="1">
        <v>2393435.2799999998</v>
      </c>
      <c r="U488" s="1">
        <v>0</v>
      </c>
      <c r="V488" s="1">
        <v>0</v>
      </c>
      <c r="W488" s="1">
        <v>0</v>
      </c>
      <c r="X488" s="1">
        <v>0</v>
      </c>
      <c r="Y488" s="1">
        <v>0</v>
      </c>
      <c r="Z488" s="1">
        <v>187463.11</v>
      </c>
      <c r="AA488" s="1">
        <v>0</v>
      </c>
    </row>
    <row r="489" spans="1:27" ht="38.25" customHeight="1">
      <c r="A489" s="76">
        <v>97</v>
      </c>
      <c r="B489" s="124" t="s">
        <v>421</v>
      </c>
      <c r="C489" s="1">
        <v>2699323.9000000004</v>
      </c>
      <c r="D489" s="1">
        <v>2503258.9700000002</v>
      </c>
      <c r="E489" s="1">
        <v>0</v>
      </c>
      <c r="F489" s="1">
        <v>0</v>
      </c>
      <c r="G489" s="1">
        <v>0</v>
      </c>
      <c r="H489" s="1">
        <v>2503258.9700000002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1">
        <v>0</v>
      </c>
      <c r="U489" s="1">
        <v>0</v>
      </c>
      <c r="V489" s="1">
        <v>0</v>
      </c>
      <c r="W489" s="1">
        <v>0</v>
      </c>
      <c r="X489" s="1">
        <v>0</v>
      </c>
      <c r="Y489" s="1">
        <v>0</v>
      </c>
      <c r="Z489" s="1">
        <v>196064.93</v>
      </c>
      <c r="AA489" s="1">
        <v>0</v>
      </c>
    </row>
    <row r="490" spans="1:27" ht="33.75" customHeight="1">
      <c r="A490" s="76">
        <v>98</v>
      </c>
      <c r="B490" s="124" t="s">
        <v>880</v>
      </c>
      <c r="C490" s="1">
        <v>4441579.55</v>
      </c>
      <c r="D490" s="1">
        <v>4118966.18</v>
      </c>
      <c r="E490" s="1">
        <v>0</v>
      </c>
      <c r="F490" s="1">
        <v>0</v>
      </c>
      <c r="G490" s="1">
        <v>4118966.18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Q490" s="1">
        <v>0</v>
      </c>
      <c r="R490" s="1">
        <v>0</v>
      </c>
      <c r="S490" s="1">
        <v>0</v>
      </c>
      <c r="T490" s="1">
        <v>0</v>
      </c>
      <c r="U490" s="1">
        <v>0</v>
      </c>
      <c r="V490" s="1">
        <v>0</v>
      </c>
      <c r="W490" s="1">
        <v>0</v>
      </c>
      <c r="X490" s="1">
        <v>0</v>
      </c>
      <c r="Y490" s="1">
        <v>0</v>
      </c>
      <c r="Z490" s="1">
        <v>322613.37</v>
      </c>
      <c r="AA490" s="1">
        <v>0</v>
      </c>
    </row>
    <row r="491" spans="1:27" ht="36.75" customHeight="1">
      <c r="A491" s="76">
        <v>99</v>
      </c>
      <c r="B491" s="124" t="s">
        <v>423</v>
      </c>
      <c r="C491" s="1">
        <v>464004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2</v>
      </c>
      <c r="L491" s="1">
        <v>430301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1">
        <v>33703</v>
      </c>
      <c r="AA491" s="1">
        <v>0</v>
      </c>
    </row>
    <row r="492" spans="1:27" ht="39" customHeight="1">
      <c r="A492" s="76">
        <v>100</v>
      </c>
      <c r="B492" s="124" t="s">
        <v>881</v>
      </c>
      <c r="C492" s="1">
        <v>20753298.73</v>
      </c>
      <c r="D492" s="1">
        <v>18598499.030000001</v>
      </c>
      <c r="E492" s="1">
        <v>0</v>
      </c>
      <c r="F492" s="1">
        <v>6321797.1600000001</v>
      </c>
      <c r="G492" s="1">
        <v>4538034.13</v>
      </c>
      <c r="H492" s="1">
        <v>3176822.32</v>
      </c>
      <c r="I492" s="1">
        <v>3176822.32</v>
      </c>
      <c r="J492" s="1">
        <v>1385023.1</v>
      </c>
      <c r="K492" s="1">
        <v>3</v>
      </c>
      <c r="L492" s="1">
        <v>647387</v>
      </c>
      <c r="M492" s="1">
        <v>0</v>
      </c>
      <c r="N492" s="1">
        <v>0</v>
      </c>
      <c r="O492" s="1">
        <v>0</v>
      </c>
      <c r="P492" s="1">
        <v>0</v>
      </c>
      <c r="Q492" s="1">
        <v>0</v>
      </c>
      <c r="R492" s="1">
        <v>0</v>
      </c>
      <c r="S492" s="1">
        <v>0</v>
      </c>
      <c r="T492" s="1">
        <v>0</v>
      </c>
      <c r="U492" s="1">
        <v>0</v>
      </c>
      <c r="V492" s="1">
        <v>0</v>
      </c>
      <c r="W492" s="1">
        <v>0</v>
      </c>
      <c r="X492" s="1">
        <v>0</v>
      </c>
      <c r="Y492" s="1">
        <v>0</v>
      </c>
      <c r="Z492" s="1">
        <v>1507412.7000000002</v>
      </c>
      <c r="AA492" s="1">
        <v>0</v>
      </c>
    </row>
    <row r="493" spans="1:27" ht="33" customHeight="1">
      <c r="A493" s="76">
        <v>101</v>
      </c>
      <c r="B493" s="124" t="s">
        <v>338</v>
      </c>
      <c r="C493" s="1">
        <v>38229950.640000001</v>
      </c>
      <c r="D493" s="1">
        <v>34805737.600000001</v>
      </c>
      <c r="E493" s="1">
        <v>0</v>
      </c>
      <c r="F493" s="1">
        <v>10453922.77</v>
      </c>
      <c r="G493" s="1">
        <v>9001551.7300000004</v>
      </c>
      <c r="H493" s="1">
        <v>6301479.7999999998</v>
      </c>
      <c r="I493" s="1">
        <v>6301479.7999999998</v>
      </c>
      <c r="J493" s="1">
        <v>2747303.5</v>
      </c>
      <c r="K493" s="1">
        <v>3</v>
      </c>
      <c r="L493" s="1">
        <v>647387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1">
        <v>2776826.04</v>
      </c>
      <c r="AA493" s="1">
        <v>0</v>
      </c>
    </row>
    <row r="494" spans="1:27" ht="42" customHeight="1">
      <c r="A494" s="76">
        <v>102</v>
      </c>
      <c r="B494" s="124" t="s">
        <v>425</v>
      </c>
      <c r="C494" s="1">
        <v>40216732.0308</v>
      </c>
      <c r="D494" s="1">
        <v>3981711.16</v>
      </c>
      <c r="E494" s="1">
        <v>3981711.16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3</v>
      </c>
      <c r="L494" s="1">
        <v>647387</v>
      </c>
      <c r="M494" s="1">
        <v>0</v>
      </c>
      <c r="N494" s="1">
        <v>0</v>
      </c>
      <c r="O494" s="1">
        <v>0</v>
      </c>
      <c r="P494" s="1">
        <v>0</v>
      </c>
      <c r="Q494" s="1">
        <v>0</v>
      </c>
      <c r="R494" s="1">
        <v>0</v>
      </c>
      <c r="S494" s="1">
        <v>0</v>
      </c>
      <c r="T494" s="1">
        <v>0</v>
      </c>
      <c r="U494" s="1">
        <v>3516.06</v>
      </c>
      <c r="V494" s="1">
        <v>32666498.309999999</v>
      </c>
      <c r="W494" s="1">
        <v>0</v>
      </c>
      <c r="X494" s="1">
        <v>0</v>
      </c>
      <c r="Y494" s="1">
        <v>0</v>
      </c>
      <c r="Z494" s="1">
        <v>2921135.5608000001</v>
      </c>
      <c r="AA494" s="1">
        <v>0</v>
      </c>
    </row>
    <row r="495" spans="1:27" ht="45.75" customHeight="1">
      <c r="A495" s="76">
        <v>103</v>
      </c>
      <c r="B495" s="124" t="s">
        <v>614</v>
      </c>
      <c r="C495" s="1">
        <v>25740318.270000003</v>
      </c>
      <c r="D495" s="1">
        <v>23870674.670000002</v>
      </c>
      <c r="E495" s="1">
        <v>3937674.93</v>
      </c>
      <c r="F495" s="1">
        <v>10909490.16</v>
      </c>
      <c r="G495" s="1">
        <v>9023509.5800000001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0</v>
      </c>
      <c r="S495" s="1">
        <v>0</v>
      </c>
      <c r="T495" s="1">
        <v>0</v>
      </c>
      <c r="U495" s="1">
        <v>0</v>
      </c>
      <c r="V495" s="1">
        <v>0</v>
      </c>
      <c r="W495" s="1">
        <v>0</v>
      </c>
      <c r="X495" s="1">
        <v>0</v>
      </c>
      <c r="Y495" s="1">
        <v>0</v>
      </c>
      <c r="Z495" s="1">
        <v>1869643.6</v>
      </c>
      <c r="AA495" s="1">
        <v>0</v>
      </c>
    </row>
    <row r="496" spans="1:27" ht="39" customHeight="1">
      <c r="A496" s="76">
        <v>104</v>
      </c>
      <c r="B496" s="124" t="s">
        <v>426</v>
      </c>
      <c r="C496" s="1">
        <v>2505907.48</v>
      </c>
      <c r="D496" s="1">
        <v>0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v>0</v>
      </c>
      <c r="Q496" s="1">
        <v>0</v>
      </c>
      <c r="R496" s="1">
        <v>0</v>
      </c>
      <c r="S496" s="1">
        <v>538</v>
      </c>
      <c r="T496" s="1">
        <v>2323891.3199999998</v>
      </c>
      <c r="U496" s="1">
        <v>0</v>
      </c>
      <c r="V496" s="1">
        <v>0</v>
      </c>
      <c r="W496" s="1">
        <v>0</v>
      </c>
      <c r="X496" s="1">
        <v>0</v>
      </c>
      <c r="Y496" s="1">
        <v>0</v>
      </c>
      <c r="Z496" s="1">
        <v>182016.16</v>
      </c>
      <c r="AA496" s="1">
        <v>0</v>
      </c>
    </row>
    <row r="497" spans="1:27" ht="36" customHeight="1">
      <c r="A497" s="76">
        <v>105</v>
      </c>
      <c r="B497" s="124" t="s">
        <v>427</v>
      </c>
      <c r="C497" s="1">
        <f>D497+L497+N497+P497+R497+T497+V497+X497+Z497</f>
        <v>399997.87</v>
      </c>
      <c r="D497" s="1">
        <f>E497+F497+G497+H497+I497+J497</f>
        <v>370944.09</v>
      </c>
      <c r="E497" s="1">
        <v>370944.09</v>
      </c>
      <c r="F497" s="1">
        <v>0</v>
      </c>
      <c r="G497" s="1">
        <v>0</v>
      </c>
      <c r="H497" s="1">
        <v>0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v>0</v>
      </c>
      <c r="Q497" s="1">
        <v>0</v>
      </c>
      <c r="R497" s="1">
        <v>0</v>
      </c>
      <c r="S497" s="1">
        <v>0</v>
      </c>
      <c r="T497" s="1">
        <v>0</v>
      </c>
      <c r="U497" s="1">
        <v>0</v>
      </c>
      <c r="V497" s="1">
        <v>0</v>
      </c>
      <c r="W497" s="1">
        <v>0</v>
      </c>
      <c r="X497" s="1">
        <v>0</v>
      </c>
      <c r="Y497" s="1">
        <v>0</v>
      </c>
      <c r="Z497" s="1">
        <v>29053.78</v>
      </c>
      <c r="AA497" s="1">
        <v>0</v>
      </c>
    </row>
    <row r="498" spans="1:27" ht="39" customHeight="1">
      <c r="A498" s="76">
        <v>106</v>
      </c>
      <c r="B498" s="124" t="s">
        <v>615</v>
      </c>
      <c r="C498" s="1">
        <v>14733812.299999999</v>
      </c>
      <c r="D498" s="1">
        <v>13663624.369999999</v>
      </c>
      <c r="E498" s="1">
        <v>0</v>
      </c>
      <c r="F498" s="1">
        <v>0</v>
      </c>
      <c r="G498" s="1">
        <v>13663624.369999999</v>
      </c>
      <c r="H498" s="1">
        <v>0</v>
      </c>
      <c r="I498" s="1">
        <v>0</v>
      </c>
      <c r="J498" s="1">
        <v>0</v>
      </c>
      <c r="K498" s="1">
        <v>0</v>
      </c>
      <c r="L498" s="1">
        <v>0</v>
      </c>
      <c r="M498" s="1">
        <v>0</v>
      </c>
      <c r="N498" s="1">
        <v>0</v>
      </c>
      <c r="O498" s="1">
        <v>0</v>
      </c>
      <c r="P498" s="1">
        <v>0</v>
      </c>
      <c r="Q498" s="1">
        <v>0</v>
      </c>
      <c r="R498" s="1">
        <v>0</v>
      </c>
      <c r="S498" s="1">
        <v>0</v>
      </c>
      <c r="T498" s="1">
        <v>0</v>
      </c>
      <c r="U498" s="1">
        <v>0</v>
      </c>
      <c r="V498" s="1">
        <v>0</v>
      </c>
      <c r="W498" s="1">
        <v>0</v>
      </c>
      <c r="X498" s="1">
        <v>0</v>
      </c>
      <c r="Y498" s="1">
        <v>0</v>
      </c>
      <c r="Z498" s="1">
        <v>1070187.93</v>
      </c>
      <c r="AA498" s="1">
        <v>0</v>
      </c>
    </row>
    <row r="499" spans="1:27" ht="42" customHeight="1">
      <c r="A499" s="76">
        <v>107</v>
      </c>
      <c r="B499" s="124" t="s">
        <v>567</v>
      </c>
      <c r="C499" s="1">
        <v>12001132.27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1">
        <v>0</v>
      </c>
      <c r="J499" s="1">
        <v>0</v>
      </c>
      <c r="K499" s="1">
        <v>0</v>
      </c>
      <c r="L499" s="1">
        <v>0</v>
      </c>
      <c r="M499" s="1">
        <v>0</v>
      </c>
      <c r="N499" s="1">
        <v>0</v>
      </c>
      <c r="O499" s="1">
        <v>1196.47</v>
      </c>
      <c r="P499" s="1">
        <v>11129432.09</v>
      </c>
      <c r="Q499" s="1">
        <v>0</v>
      </c>
      <c r="R499" s="1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1">
        <v>871700.18</v>
      </c>
      <c r="AA499" s="1">
        <v>0</v>
      </c>
    </row>
    <row r="500" spans="1:27" ht="34.5" customHeight="1">
      <c r="A500" s="76">
        <v>108</v>
      </c>
      <c r="B500" s="124" t="s">
        <v>617</v>
      </c>
      <c r="C500" s="1">
        <v>2133102.08</v>
      </c>
      <c r="D500" s="1">
        <v>1978164.58</v>
      </c>
      <c r="E500" s="1">
        <v>1978164.58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0</v>
      </c>
      <c r="Q500" s="1">
        <v>0</v>
      </c>
      <c r="R500" s="1">
        <v>0</v>
      </c>
      <c r="S500" s="1">
        <v>0</v>
      </c>
      <c r="T500" s="1">
        <v>0</v>
      </c>
      <c r="U500" s="1">
        <v>0</v>
      </c>
      <c r="V500" s="1">
        <v>0</v>
      </c>
      <c r="W500" s="1">
        <v>0</v>
      </c>
      <c r="X500" s="1">
        <v>0</v>
      </c>
      <c r="Y500" s="1">
        <v>0</v>
      </c>
      <c r="Z500" s="1">
        <v>154937.5</v>
      </c>
      <c r="AA500" s="1">
        <v>0</v>
      </c>
    </row>
    <row r="501" spans="1:27" ht="44.25" customHeight="1">
      <c r="A501" s="76">
        <v>109</v>
      </c>
      <c r="B501" s="124" t="s">
        <v>616</v>
      </c>
      <c r="C501" s="1">
        <v>8978373.5700000003</v>
      </c>
      <c r="D501" s="1">
        <v>8326230.9500000002</v>
      </c>
      <c r="E501" s="1">
        <v>0</v>
      </c>
      <c r="F501" s="1">
        <v>0</v>
      </c>
      <c r="G501" s="1">
        <v>8326230.9500000002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  <c r="X501" s="1">
        <v>0</v>
      </c>
      <c r="Y501" s="1">
        <v>0</v>
      </c>
      <c r="Z501" s="1">
        <v>652142.62</v>
      </c>
      <c r="AA501" s="1">
        <v>0</v>
      </c>
    </row>
    <row r="502" spans="1:27" ht="36.75" customHeight="1">
      <c r="A502" s="76">
        <v>110</v>
      </c>
      <c r="B502" s="124" t="s">
        <v>428</v>
      </c>
      <c r="C502" s="1">
        <f>D502+L502+N502+P502+R502+T502+V502+X502+Z502</f>
        <v>2764682.97</v>
      </c>
      <c r="D502" s="1">
        <f>E502+F502+G502+H502+I502+J502</f>
        <v>1916483.56</v>
      </c>
      <c r="E502" s="1">
        <v>1916483.56</v>
      </c>
      <c r="F502" s="1">
        <v>0</v>
      </c>
      <c r="G502" s="1">
        <v>0</v>
      </c>
      <c r="H502" s="1">
        <v>0</v>
      </c>
      <c r="I502" s="1">
        <v>0</v>
      </c>
      <c r="J502" s="1">
        <v>0</v>
      </c>
      <c r="K502" s="1">
        <v>3</v>
      </c>
      <c r="L502" s="1">
        <v>647387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0</v>
      </c>
      <c r="V502" s="1">
        <v>0</v>
      </c>
      <c r="W502" s="1">
        <v>0</v>
      </c>
      <c r="X502" s="1">
        <v>0</v>
      </c>
      <c r="Y502" s="1">
        <v>0</v>
      </c>
      <c r="Z502" s="1">
        <v>200812.41</v>
      </c>
      <c r="AA502" s="1">
        <v>0</v>
      </c>
    </row>
    <row r="503" spans="1:27" ht="33" customHeight="1">
      <c r="A503" s="76">
        <v>111</v>
      </c>
      <c r="B503" s="124" t="s">
        <v>429</v>
      </c>
      <c r="C503" s="1">
        <v>5617145.3300000001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0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v>0</v>
      </c>
      <c r="Q503" s="1">
        <v>0</v>
      </c>
      <c r="R503" s="1">
        <v>0</v>
      </c>
      <c r="S503" s="1">
        <v>1205.96</v>
      </c>
      <c r="T503" s="1">
        <v>5209144.9400000004</v>
      </c>
      <c r="U503" s="1">
        <v>0</v>
      </c>
      <c r="V503" s="1">
        <v>0</v>
      </c>
      <c r="W503" s="1">
        <v>0</v>
      </c>
      <c r="X503" s="1">
        <v>0</v>
      </c>
      <c r="Y503" s="1">
        <v>0</v>
      </c>
      <c r="Z503" s="1">
        <v>408000.39</v>
      </c>
      <c r="AA503" s="1">
        <v>0</v>
      </c>
    </row>
    <row r="504" spans="1:27" ht="28.5" customHeight="1">
      <c r="A504" s="76">
        <v>112</v>
      </c>
      <c r="B504" s="124" t="s">
        <v>430</v>
      </c>
      <c r="C504" s="1">
        <v>2287945.71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511.4</v>
      </c>
      <c r="T504" s="1">
        <v>2121761.17</v>
      </c>
      <c r="U504" s="1">
        <v>0</v>
      </c>
      <c r="V504" s="1">
        <v>0</v>
      </c>
      <c r="W504" s="1">
        <v>0</v>
      </c>
      <c r="X504" s="1">
        <v>0</v>
      </c>
      <c r="Y504" s="1">
        <v>0</v>
      </c>
      <c r="Z504" s="1">
        <v>166184.54</v>
      </c>
      <c r="AA504" s="1">
        <v>0</v>
      </c>
    </row>
    <row r="505" spans="1:27" ht="33.75" customHeight="1">
      <c r="A505" s="76">
        <v>113</v>
      </c>
      <c r="B505" s="124" t="s">
        <v>618</v>
      </c>
      <c r="C505" s="1">
        <f>D505+L505+N505+P505+R505+T505+V505+X505+Z505</f>
        <v>698093</v>
      </c>
      <c r="D505" s="1">
        <f>E505+F505+G505+H505+I505+J505</f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v>3</v>
      </c>
      <c r="L505" s="1">
        <v>647387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1">
        <v>50706</v>
      </c>
      <c r="AA505" s="1">
        <v>0</v>
      </c>
    </row>
    <row r="506" spans="1:27" ht="33.75" customHeight="1">
      <c r="A506" s="76">
        <v>114</v>
      </c>
      <c r="B506" s="124" t="s">
        <v>619</v>
      </c>
      <c r="C506" s="1">
        <f>D506+L506+N506+P506+R506+T506+V506+X506+Y506+Z506+AA506</f>
        <v>27095238.52</v>
      </c>
      <c r="D506" s="1">
        <v>0</v>
      </c>
      <c r="E506" s="1">
        <v>0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  <c r="R506" s="1">
        <v>0</v>
      </c>
      <c r="S506" s="1">
        <v>6365</v>
      </c>
      <c r="T506" s="1">
        <v>25127180.52</v>
      </c>
      <c r="U506" s="1">
        <v>0</v>
      </c>
      <c r="V506" s="1">
        <v>0</v>
      </c>
      <c r="W506" s="1">
        <v>0</v>
      </c>
      <c r="X506" s="1">
        <v>0</v>
      </c>
      <c r="Y506" s="1">
        <v>0</v>
      </c>
      <c r="Z506" s="1">
        <v>1968058</v>
      </c>
      <c r="AA506" s="1">
        <v>0</v>
      </c>
    </row>
    <row r="507" spans="1:27" ht="33" customHeight="1">
      <c r="A507" s="76">
        <v>115</v>
      </c>
      <c r="B507" s="124" t="s">
        <v>620</v>
      </c>
      <c r="C507" s="1">
        <v>14045704.83</v>
      </c>
      <c r="D507" s="1">
        <v>0</v>
      </c>
      <c r="E507" s="1">
        <v>0</v>
      </c>
      <c r="F507" s="1">
        <v>0</v>
      </c>
      <c r="G507" s="1">
        <v>0</v>
      </c>
      <c r="H507" s="1">
        <v>0</v>
      </c>
      <c r="I507" s="1">
        <v>0</v>
      </c>
      <c r="J507" s="1">
        <v>0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0</v>
      </c>
      <c r="S507" s="1">
        <v>0</v>
      </c>
      <c r="T507" s="1">
        <v>0</v>
      </c>
      <c r="U507" s="1">
        <v>1402</v>
      </c>
      <c r="V507" s="1">
        <v>13025497.470000001</v>
      </c>
      <c r="W507" s="1">
        <v>0</v>
      </c>
      <c r="X507" s="1">
        <v>0</v>
      </c>
      <c r="Y507" s="1">
        <v>0</v>
      </c>
      <c r="Z507" s="1">
        <v>1020207.36</v>
      </c>
      <c r="AA507" s="1">
        <v>0</v>
      </c>
    </row>
    <row r="508" spans="1:27" ht="39" customHeight="1">
      <c r="A508" s="76">
        <v>116</v>
      </c>
      <c r="B508" s="124" t="s">
        <v>569</v>
      </c>
      <c r="C508" s="1">
        <v>16559001.150000002</v>
      </c>
      <c r="D508" s="1">
        <v>15356240.950000001</v>
      </c>
      <c r="E508" s="1">
        <v>2029398.93</v>
      </c>
      <c r="F508" s="1">
        <v>5400662.2000000002</v>
      </c>
      <c r="G508" s="1">
        <v>0</v>
      </c>
      <c r="H508" s="1">
        <v>3254069.88</v>
      </c>
      <c r="I508" s="1">
        <v>3254069.88</v>
      </c>
      <c r="J508" s="1">
        <v>1418040.06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v>0</v>
      </c>
      <c r="Q508" s="1">
        <v>0</v>
      </c>
      <c r="R508" s="1">
        <v>0</v>
      </c>
      <c r="S508" s="1">
        <v>0</v>
      </c>
      <c r="T508" s="1">
        <v>0</v>
      </c>
      <c r="U508" s="1">
        <v>0</v>
      </c>
      <c r="V508" s="1">
        <v>0</v>
      </c>
      <c r="W508" s="1">
        <v>0</v>
      </c>
      <c r="X508" s="1">
        <v>0</v>
      </c>
      <c r="Y508" s="1">
        <v>0</v>
      </c>
      <c r="Z508" s="1">
        <v>1202760.2000000002</v>
      </c>
      <c r="AA508" s="1">
        <v>0</v>
      </c>
    </row>
    <row r="509" spans="1:27" ht="31.5" customHeight="1">
      <c r="A509" s="76">
        <v>117</v>
      </c>
      <c r="B509" s="124" t="s">
        <v>431</v>
      </c>
      <c r="C509" s="1">
        <v>8970816.8699999992</v>
      </c>
      <c r="D509" s="1">
        <v>8319223.1299999999</v>
      </c>
      <c r="E509" s="1">
        <v>0</v>
      </c>
      <c r="F509" s="1">
        <v>0</v>
      </c>
      <c r="G509" s="1">
        <v>8319223.1299999999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  <c r="R509" s="1">
        <v>0</v>
      </c>
      <c r="S509" s="1">
        <v>0</v>
      </c>
      <c r="T509" s="1">
        <v>0</v>
      </c>
      <c r="U509" s="1">
        <v>0</v>
      </c>
      <c r="V509" s="1">
        <v>0</v>
      </c>
      <c r="W509" s="1">
        <v>0</v>
      </c>
      <c r="X509" s="1">
        <v>0</v>
      </c>
      <c r="Y509" s="1">
        <v>0</v>
      </c>
      <c r="Z509" s="1">
        <v>651593.74</v>
      </c>
      <c r="AA509" s="1">
        <v>0</v>
      </c>
    </row>
    <row r="510" spans="1:27" ht="40.5" customHeight="1">
      <c r="A510" s="76">
        <v>118</v>
      </c>
      <c r="B510" s="124" t="s">
        <v>432</v>
      </c>
      <c r="C510" s="1">
        <v>25770651.370000001</v>
      </c>
      <c r="D510" s="1">
        <v>0</v>
      </c>
      <c r="E510" s="1">
        <v>0</v>
      </c>
      <c r="F510" s="1">
        <v>0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  <c r="O510" s="1">
        <v>1709</v>
      </c>
      <c r="P510" s="1">
        <v>15896929.67</v>
      </c>
      <c r="Q510" s="1">
        <v>0</v>
      </c>
      <c r="R510" s="1">
        <v>0</v>
      </c>
      <c r="S510" s="1">
        <v>1852.5</v>
      </c>
      <c r="T510" s="1">
        <v>8001874.8600000003</v>
      </c>
      <c r="U510" s="1">
        <v>0</v>
      </c>
      <c r="V510" s="1">
        <v>0</v>
      </c>
      <c r="W510" s="1">
        <v>0</v>
      </c>
      <c r="X510" s="1">
        <v>0</v>
      </c>
      <c r="Y510" s="1">
        <v>0</v>
      </c>
      <c r="Z510" s="1">
        <v>1871846.84</v>
      </c>
      <c r="AA510" s="1">
        <v>0</v>
      </c>
    </row>
    <row r="511" spans="1:27" ht="34.5" customHeight="1">
      <c r="A511" s="76">
        <v>119</v>
      </c>
      <c r="B511" s="124" t="s">
        <v>765</v>
      </c>
      <c r="C511" s="1">
        <v>3699812.86</v>
      </c>
      <c r="D511" s="1">
        <v>3431077.59</v>
      </c>
      <c r="E511" s="1">
        <v>3431077.59</v>
      </c>
      <c r="F511" s="1">
        <v>0</v>
      </c>
      <c r="G511" s="1">
        <v>0</v>
      </c>
      <c r="H511" s="1">
        <v>0</v>
      </c>
      <c r="I511" s="1">
        <v>0</v>
      </c>
      <c r="J511" s="1">
        <v>0</v>
      </c>
      <c r="K511" s="1">
        <v>0</v>
      </c>
      <c r="L511" s="1">
        <v>0</v>
      </c>
      <c r="M511" s="1">
        <v>0</v>
      </c>
      <c r="N511" s="1">
        <v>0</v>
      </c>
      <c r="O511" s="1">
        <v>0</v>
      </c>
      <c r="P511" s="1">
        <v>0</v>
      </c>
      <c r="Q511" s="1">
        <v>0</v>
      </c>
      <c r="R511" s="1">
        <v>0</v>
      </c>
      <c r="S511" s="1">
        <v>0</v>
      </c>
      <c r="T511" s="1">
        <v>0</v>
      </c>
      <c r="U511" s="1">
        <v>0</v>
      </c>
      <c r="V511" s="1">
        <v>0</v>
      </c>
      <c r="W511" s="1">
        <v>0</v>
      </c>
      <c r="X511" s="1">
        <v>0</v>
      </c>
      <c r="Y511" s="1">
        <v>0</v>
      </c>
      <c r="Z511" s="1">
        <v>268735.27</v>
      </c>
      <c r="AA511" s="1">
        <v>0</v>
      </c>
    </row>
    <row r="512" spans="1:27" ht="36.75" customHeight="1">
      <c r="A512" s="76">
        <v>120</v>
      </c>
      <c r="B512" s="124" t="s">
        <v>766</v>
      </c>
      <c r="C512" s="1">
        <v>5175755.8899999997</v>
      </c>
      <c r="D512" s="1">
        <v>4596673.63</v>
      </c>
      <c r="E512" s="1">
        <v>0</v>
      </c>
      <c r="F512" s="1">
        <v>0</v>
      </c>
      <c r="G512" s="1">
        <v>0</v>
      </c>
      <c r="H512" s="1">
        <v>0</v>
      </c>
      <c r="I512" s="1">
        <v>4596673.63</v>
      </c>
      <c r="J512" s="1">
        <v>0</v>
      </c>
      <c r="K512" s="1">
        <v>1</v>
      </c>
      <c r="L512" s="1">
        <v>203142</v>
      </c>
      <c r="M512" s="1">
        <v>0</v>
      </c>
      <c r="N512" s="1">
        <v>0</v>
      </c>
      <c r="O512" s="1">
        <v>0</v>
      </c>
      <c r="P512" s="1">
        <v>0</v>
      </c>
      <c r="Q512" s="1">
        <v>0</v>
      </c>
      <c r="R512" s="1">
        <v>0</v>
      </c>
      <c r="S512" s="1">
        <v>0</v>
      </c>
      <c r="T512" s="1">
        <v>0</v>
      </c>
      <c r="U512" s="1">
        <v>0</v>
      </c>
      <c r="V512" s="1">
        <v>0</v>
      </c>
      <c r="W512" s="1">
        <v>0</v>
      </c>
      <c r="X512" s="1">
        <v>0</v>
      </c>
      <c r="Y512" s="1">
        <v>0</v>
      </c>
      <c r="Z512" s="1">
        <v>375940.26</v>
      </c>
      <c r="AA512" s="1">
        <v>0</v>
      </c>
    </row>
    <row r="513" spans="1:27" ht="43.5" customHeight="1">
      <c r="A513" s="76">
        <v>121</v>
      </c>
      <c r="B513" s="124" t="s">
        <v>433</v>
      </c>
      <c r="C513" s="1">
        <v>8173836.3399999999</v>
      </c>
      <c r="D513" s="1">
        <v>7580131.1399999997</v>
      </c>
      <c r="E513" s="1">
        <v>0</v>
      </c>
      <c r="F513" s="1">
        <v>0</v>
      </c>
      <c r="G513" s="1">
        <v>7580131.1399999997</v>
      </c>
      <c r="H513" s="1">
        <v>0</v>
      </c>
      <c r="I513" s="1">
        <v>0</v>
      </c>
      <c r="J513" s="1">
        <v>0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v>0</v>
      </c>
      <c r="Q513" s="1">
        <v>0</v>
      </c>
      <c r="R513" s="1">
        <v>0</v>
      </c>
      <c r="S513" s="1">
        <v>0</v>
      </c>
      <c r="T513" s="1">
        <v>0</v>
      </c>
      <c r="U513" s="1">
        <v>0</v>
      </c>
      <c r="V513" s="1">
        <v>0</v>
      </c>
      <c r="W513" s="1">
        <v>0</v>
      </c>
      <c r="X513" s="1">
        <v>0</v>
      </c>
      <c r="Y513" s="1">
        <v>0</v>
      </c>
      <c r="Z513" s="1">
        <v>593705.19999999995</v>
      </c>
      <c r="AA513" s="1">
        <v>0</v>
      </c>
    </row>
    <row r="514" spans="1:27" ht="38.25" customHeight="1">
      <c r="A514" s="76">
        <v>122</v>
      </c>
      <c r="B514" s="124" t="s">
        <v>882</v>
      </c>
      <c r="C514" s="1">
        <v>15896334.82</v>
      </c>
      <c r="D514" s="1">
        <v>14741707.27</v>
      </c>
      <c r="E514" s="1">
        <v>4605121.42</v>
      </c>
      <c r="F514" s="1">
        <v>0</v>
      </c>
      <c r="G514" s="1">
        <v>10136585.85</v>
      </c>
      <c r="H514" s="1">
        <v>0</v>
      </c>
      <c r="I514" s="1">
        <v>0</v>
      </c>
      <c r="J514" s="1">
        <v>0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0</v>
      </c>
      <c r="Q514" s="1">
        <v>0</v>
      </c>
      <c r="R514" s="1">
        <v>0</v>
      </c>
      <c r="S514" s="1">
        <v>0</v>
      </c>
      <c r="T514" s="1">
        <v>0</v>
      </c>
      <c r="U514" s="1">
        <v>0</v>
      </c>
      <c r="V514" s="1">
        <v>0</v>
      </c>
      <c r="W514" s="1">
        <v>0</v>
      </c>
      <c r="X514" s="1">
        <v>0</v>
      </c>
      <c r="Y514" s="1">
        <v>0</v>
      </c>
      <c r="Z514" s="1">
        <v>1154627.55</v>
      </c>
      <c r="AA514" s="1">
        <v>0</v>
      </c>
    </row>
    <row r="515" spans="1:27" ht="38.25" customHeight="1">
      <c r="A515" s="76">
        <v>123</v>
      </c>
      <c r="B515" s="124" t="s">
        <v>621</v>
      </c>
      <c r="C515" s="1">
        <v>8036603.6699999999</v>
      </c>
      <c r="D515" s="1">
        <v>0</v>
      </c>
      <c r="E515" s="1">
        <v>0</v>
      </c>
      <c r="F515" s="1">
        <v>0</v>
      </c>
      <c r="G515" s="1">
        <v>0</v>
      </c>
      <c r="H515" s="1">
        <v>0</v>
      </c>
      <c r="I515" s="1">
        <v>0</v>
      </c>
      <c r="J515" s="1">
        <v>0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  <c r="Q515" s="1">
        <v>0</v>
      </c>
      <c r="R515" s="1">
        <v>0</v>
      </c>
      <c r="S515" s="1">
        <v>1725.4</v>
      </c>
      <c r="T515" s="1">
        <v>7452866.3399999999</v>
      </c>
      <c r="U515" s="1">
        <v>0</v>
      </c>
      <c r="V515" s="1">
        <v>0</v>
      </c>
      <c r="W515" s="1">
        <v>0</v>
      </c>
      <c r="X515" s="1">
        <v>0</v>
      </c>
      <c r="Y515" s="1">
        <v>0</v>
      </c>
      <c r="Z515" s="1">
        <v>583737.32999999996</v>
      </c>
      <c r="AA515" s="1">
        <v>0</v>
      </c>
    </row>
    <row r="516" spans="1:27" ht="29.25" customHeight="1">
      <c r="A516" s="76">
        <v>124</v>
      </c>
      <c r="B516" s="124" t="s">
        <v>434</v>
      </c>
      <c r="C516" s="1">
        <v>24920281.569999997</v>
      </c>
      <c r="D516" s="1">
        <v>23110201.169999998</v>
      </c>
      <c r="E516" s="1">
        <v>0</v>
      </c>
      <c r="F516" s="1">
        <v>7776668.5899999999</v>
      </c>
      <c r="G516" s="1">
        <v>5526838.2999999998</v>
      </c>
      <c r="H516" s="1">
        <v>4026109.58</v>
      </c>
      <c r="I516" s="1">
        <v>4026109.58</v>
      </c>
      <c r="J516" s="1">
        <v>1754475.12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1">
        <v>0</v>
      </c>
      <c r="U516" s="1">
        <v>0</v>
      </c>
      <c r="V516" s="1">
        <v>0</v>
      </c>
      <c r="W516" s="1">
        <v>0</v>
      </c>
      <c r="X516" s="1">
        <v>0</v>
      </c>
      <c r="Y516" s="1">
        <v>0</v>
      </c>
      <c r="Z516" s="1">
        <v>1810080.4000000001</v>
      </c>
      <c r="AA516" s="1">
        <v>0</v>
      </c>
    </row>
    <row r="517" spans="1:27" ht="36" customHeight="1">
      <c r="A517" s="76">
        <v>125</v>
      </c>
      <c r="B517" s="124" t="s">
        <v>435</v>
      </c>
      <c r="C517" s="1">
        <v>424555.56</v>
      </c>
      <c r="D517" s="1">
        <v>393718.04</v>
      </c>
      <c r="E517" s="1">
        <v>393718.04</v>
      </c>
      <c r="F517" s="1">
        <v>0</v>
      </c>
      <c r="G517" s="1">
        <v>0</v>
      </c>
      <c r="H517" s="1">
        <v>0</v>
      </c>
      <c r="I517" s="1">
        <v>0</v>
      </c>
      <c r="J517" s="1">
        <v>0</v>
      </c>
      <c r="K517" s="1">
        <v>0</v>
      </c>
      <c r="L517" s="1">
        <v>0</v>
      </c>
      <c r="M517" s="1">
        <v>0</v>
      </c>
      <c r="N517" s="1">
        <v>0</v>
      </c>
      <c r="O517" s="1">
        <v>0</v>
      </c>
      <c r="P517" s="1">
        <v>0</v>
      </c>
      <c r="Q517" s="1">
        <v>0</v>
      </c>
      <c r="R517" s="1">
        <v>0</v>
      </c>
      <c r="S517" s="1">
        <v>0</v>
      </c>
      <c r="T517" s="1">
        <v>0</v>
      </c>
      <c r="U517" s="1">
        <v>0</v>
      </c>
      <c r="V517" s="1">
        <v>0</v>
      </c>
      <c r="W517" s="1">
        <v>0</v>
      </c>
      <c r="X517" s="1">
        <v>0</v>
      </c>
      <c r="Y517" s="1">
        <v>0</v>
      </c>
      <c r="Z517" s="1">
        <v>30837.52</v>
      </c>
      <c r="AA517" s="1">
        <v>0</v>
      </c>
    </row>
    <row r="518" spans="1:27" ht="34.5" customHeight="1">
      <c r="A518" s="76">
        <v>126</v>
      </c>
      <c r="B518" s="124" t="s">
        <v>636</v>
      </c>
      <c r="C518" s="1">
        <v>16328658.08</v>
      </c>
      <c r="D518" s="1">
        <v>14849639.84</v>
      </c>
      <c r="E518" s="1">
        <v>0</v>
      </c>
      <c r="F518" s="1">
        <v>0</v>
      </c>
      <c r="G518" s="1">
        <v>0</v>
      </c>
      <c r="H518" s="1">
        <v>7424819.9199999999</v>
      </c>
      <c r="I518" s="1">
        <v>7424819.9199999999</v>
      </c>
      <c r="J518" s="1">
        <v>0</v>
      </c>
      <c r="K518" s="1">
        <v>2</v>
      </c>
      <c r="L518" s="1">
        <v>292989</v>
      </c>
      <c r="M518" s="1">
        <v>0</v>
      </c>
      <c r="N518" s="1">
        <v>0</v>
      </c>
      <c r="O518" s="1">
        <v>0</v>
      </c>
      <c r="P518" s="1">
        <v>0</v>
      </c>
      <c r="Q518" s="1">
        <v>0</v>
      </c>
      <c r="R518" s="1">
        <v>0</v>
      </c>
      <c r="S518" s="1">
        <v>0</v>
      </c>
      <c r="T518" s="1">
        <v>0</v>
      </c>
      <c r="U518" s="1">
        <v>0</v>
      </c>
      <c r="V518" s="1">
        <v>0</v>
      </c>
      <c r="W518" s="1">
        <v>0</v>
      </c>
      <c r="X518" s="1">
        <v>0</v>
      </c>
      <c r="Y518" s="1">
        <v>0</v>
      </c>
      <c r="Z518" s="1">
        <v>1186029.24</v>
      </c>
      <c r="AA518" s="1">
        <v>0</v>
      </c>
    </row>
    <row r="519" spans="1:27" ht="39" customHeight="1">
      <c r="A519" s="76">
        <v>127</v>
      </c>
      <c r="B519" s="124" t="s">
        <v>637</v>
      </c>
      <c r="C519" s="1">
        <v>27373618.790000003</v>
      </c>
      <c r="D519" s="1">
        <v>25385340.690000001</v>
      </c>
      <c r="E519" s="1">
        <v>0</v>
      </c>
      <c r="F519" s="1">
        <v>20106120.600000001</v>
      </c>
      <c r="G519" s="1">
        <v>0</v>
      </c>
      <c r="H519" s="1">
        <v>0</v>
      </c>
      <c r="I519" s="1">
        <v>0</v>
      </c>
      <c r="J519" s="1">
        <v>5279220.09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1">
        <v>0</v>
      </c>
      <c r="S519" s="1">
        <v>0</v>
      </c>
      <c r="T519" s="1">
        <v>0</v>
      </c>
      <c r="U519" s="1">
        <v>0</v>
      </c>
      <c r="V519" s="1">
        <v>0</v>
      </c>
      <c r="W519" s="1">
        <v>0</v>
      </c>
      <c r="X519" s="1">
        <v>0</v>
      </c>
      <c r="Y519" s="1">
        <v>0</v>
      </c>
      <c r="Z519" s="1">
        <v>1988278.0999999999</v>
      </c>
      <c r="AA519" s="1">
        <v>0</v>
      </c>
    </row>
    <row r="520" spans="1:27" ht="36.75" customHeight="1">
      <c r="A520" s="76">
        <v>128</v>
      </c>
      <c r="B520" s="124" t="s">
        <v>437</v>
      </c>
      <c r="C520" s="1">
        <v>4706272.7299999995</v>
      </c>
      <c r="D520" s="1">
        <v>4364433.42</v>
      </c>
      <c r="E520" s="1">
        <v>4364433.42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0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0</v>
      </c>
      <c r="T520" s="1">
        <v>0</v>
      </c>
      <c r="U520" s="1">
        <v>0</v>
      </c>
      <c r="V520" s="1">
        <v>0</v>
      </c>
      <c r="W520" s="1">
        <v>0</v>
      </c>
      <c r="X520" s="1">
        <v>0</v>
      </c>
      <c r="Y520" s="1">
        <v>0</v>
      </c>
      <c r="Z520" s="1">
        <v>341839.31</v>
      </c>
      <c r="AA520" s="1">
        <v>0</v>
      </c>
    </row>
    <row r="521" spans="1:27" ht="33.75" customHeight="1">
      <c r="A521" s="76">
        <v>129</v>
      </c>
      <c r="B521" s="124" t="s">
        <v>883</v>
      </c>
      <c r="C521" s="1">
        <v>1371051.24</v>
      </c>
      <c r="D521" s="1">
        <v>1271465.17</v>
      </c>
      <c r="E521" s="1">
        <v>1271465.17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>
        <v>0</v>
      </c>
      <c r="V521" s="1">
        <v>0</v>
      </c>
      <c r="W521" s="1">
        <v>0</v>
      </c>
      <c r="X521" s="1">
        <v>0</v>
      </c>
      <c r="Y521" s="1">
        <v>0</v>
      </c>
      <c r="Z521" s="1">
        <v>99586.07</v>
      </c>
      <c r="AA521" s="1">
        <v>0</v>
      </c>
    </row>
    <row r="522" spans="1:27" ht="40.5" customHeight="1">
      <c r="A522" s="76">
        <v>130</v>
      </c>
      <c r="B522" s="124" t="s">
        <v>439</v>
      </c>
      <c r="C522" s="1">
        <v>3139828.39</v>
      </c>
      <c r="D522" s="1">
        <v>2911767.49</v>
      </c>
      <c r="E522" s="1">
        <v>384803.67</v>
      </c>
      <c r="F522" s="1">
        <v>1024044.4</v>
      </c>
      <c r="G522" s="1">
        <v>0</v>
      </c>
      <c r="H522" s="1">
        <v>617019.16</v>
      </c>
      <c r="I522" s="1">
        <v>617019.16</v>
      </c>
      <c r="J522" s="1">
        <v>268881.09999999998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0</v>
      </c>
      <c r="Q522" s="1">
        <v>0</v>
      </c>
      <c r="R522" s="1">
        <v>0</v>
      </c>
      <c r="S522" s="1">
        <v>0</v>
      </c>
      <c r="T522" s="1">
        <v>0</v>
      </c>
      <c r="U522" s="1">
        <v>0</v>
      </c>
      <c r="V522" s="1">
        <v>0</v>
      </c>
      <c r="W522" s="1">
        <v>0</v>
      </c>
      <c r="X522" s="1">
        <v>0</v>
      </c>
      <c r="Y522" s="1">
        <v>0</v>
      </c>
      <c r="Z522" s="1">
        <v>228060.90000000002</v>
      </c>
      <c r="AA522" s="1">
        <v>0</v>
      </c>
    </row>
    <row r="523" spans="1:27" ht="34.5" customHeight="1">
      <c r="A523" s="76">
        <v>131</v>
      </c>
      <c r="B523" s="124" t="s">
        <v>623</v>
      </c>
      <c r="C523" s="1">
        <v>2124379.88</v>
      </c>
      <c r="D523" s="1">
        <v>1970075.91</v>
      </c>
      <c r="E523" s="1">
        <v>1970075.91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1">
        <v>0</v>
      </c>
      <c r="U523" s="1">
        <v>0</v>
      </c>
      <c r="V523" s="1">
        <v>0</v>
      </c>
      <c r="W523" s="1">
        <v>0</v>
      </c>
      <c r="X523" s="1">
        <v>0</v>
      </c>
      <c r="Y523" s="1">
        <v>0</v>
      </c>
      <c r="Z523" s="1">
        <v>154303.97</v>
      </c>
      <c r="AA523" s="1">
        <v>0</v>
      </c>
    </row>
    <row r="524" spans="1:27" ht="34.5" customHeight="1">
      <c r="A524" s="76">
        <v>132</v>
      </c>
      <c r="B524" s="124" t="s">
        <v>440</v>
      </c>
      <c r="C524" s="1">
        <v>17319264.649999999</v>
      </c>
      <c r="D524" s="1">
        <v>16061282.829999998</v>
      </c>
      <c r="E524" s="1">
        <v>0</v>
      </c>
      <c r="F524" s="1">
        <v>7283819.4299999997</v>
      </c>
      <c r="G524" s="1">
        <v>0</v>
      </c>
      <c r="H524" s="1">
        <v>4388731.7</v>
      </c>
      <c r="I524" s="1">
        <v>4388731.7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>
        <v>0</v>
      </c>
      <c r="R524" s="1">
        <v>0</v>
      </c>
      <c r="S524" s="1">
        <v>0</v>
      </c>
      <c r="T524" s="1">
        <v>0</v>
      </c>
      <c r="U524" s="1">
        <v>0</v>
      </c>
      <c r="V524" s="1">
        <v>0</v>
      </c>
      <c r="W524" s="1">
        <v>0</v>
      </c>
      <c r="X524" s="1">
        <v>0</v>
      </c>
      <c r="Y524" s="1">
        <v>0</v>
      </c>
      <c r="Z524" s="1">
        <v>1257981.82</v>
      </c>
      <c r="AA524" s="1">
        <v>0</v>
      </c>
    </row>
    <row r="525" spans="1:27" ht="34.5" customHeight="1">
      <c r="A525" s="76">
        <v>133</v>
      </c>
      <c r="B525" s="124" t="s">
        <v>624</v>
      </c>
      <c r="C525" s="1">
        <v>10364582.4</v>
      </c>
      <c r="D525" s="1">
        <v>0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>
        <v>0</v>
      </c>
      <c r="R525" s="1">
        <v>0</v>
      </c>
      <c r="S525" s="1">
        <v>2225.1999999999998</v>
      </c>
      <c r="T525" s="1">
        <v>9611752.7400000002</v>
      </c>
      <c r="U525" s="1">
        <v>0</v>
      </c>
      <c r="V525" s="1">
        <v>0</v>
      </c>
      <c r="W525" s="1">
        <v>0</v>
      </c>
      <c r="X525" s="1">
        <v>0</v>
      </c>
      <c r="Y525" s="1">
        <v>0</v>
      </c>
      <c r="Z525" s="1">
        <v>752829.66</v>
      </c>
      <c r="AA525" s="1">
        <v>0</v>
      </c>
    </row>
    <row r="526" spans="1:27" ht="41.25" customHeight="1">
      <c r="A526" s="76">
        <v>134</v>
      </c>
      <c r="B526" s="124" t="s">
        <v>441</v>
      </c>
      <c r="C526" s="1">
        <v>30493468.490000002</v>
      </c>
      <c r="D526" s="1">
        <v>27604651.600000001</v>
      </c>
      <c r="E526" s="1">
        <v>0</v>
      </c>
      <c r="F526" s="1">
        <v>12488830.220000001</v>
      </c>
      <c r="G526" s="1">
        <v>0</v>
      </c>
      <c r="H526" s="1">
        <v>6205756.1399999997</v>
      </c>
      <c r="I526" s="1">
        <v>6205756.1399999997</v>
      </c>
      <c r="J526" s="1">
        <v>2704309.1</v>
      </c>
      <c r="K526" s="1">
        <v>3</v>
      </c>
      <c r="L526" s="1">
        <v>673929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0</v>
      </c>
      <c r="U526" s="1">
        <v>0</v>
      </c>
      <c r="V526" s="1">
        <v>0</v>
      </c>
      <c r="W526" s="1">
        <v>0</v>
      </c>
      <c r="X526" s="1">
        <v>0</v>
      </c>
      <c r="Y526" s="1">
        <v>0</v>
      </c>
      <c r="Z526" s="1">
        <v>2214887.89</v>
      </c>
      <c r="AA526" s="1">
        <v>0</v>
      </c>
    </row>
    <row r="527" spans="1:27" ht="36" customHeight="1">
      <c r="A527" s="76">
        <v>135</v>
      </c>
      <c r="B527" s="124" t="s">
        <v>768</v>
      </c>
      <c r="C527" s="1">
        <v>18690979.270000003</v>
      </c>
      <c r="D527" s="1">
        <v>0</v>
      </c>
      <c r="E527" s="1">
        <v>0</v>
      </c>
      <c r="F527" s="1">
        <v>0</v>
      </c>
      <c r="G527" s="1">
        <v>0</v>
      </c>
      <c r="H527" s="1">
        <v>0</v>
      </c>
      <c r="I527" s="1">
        <v>0</v>
      </c>
      <c r="J527" s="1">
        <v>0</v>
      </c>
      <c r="K527" s="1">
        <v>0</v>
      </c>
      <c r="L527" s="1">
        <v>0</v>
      </c>
      <c r="M527" s="1">
        <v>0</v>
      </c>
      <c r="N527" s="1">
        <v>0</v>
      </c>
      <c r="O527" s="1">
        <v>1145</v>
      </c>
      <c r="P527" s="1">
        <v>10650663.82</v>
      </c>
      <c r="Q527" s="1">
        <v>0</v>
      </c>
      <c r="R527" s="1">
        <v>0</v>
      </c>
      <c r="S527" s="1">
        <v>1547.1</v>
      </c>
      <c r="T527" s="1">
        <v>6682699.3800000008</v>
      </c>
      <c r="U527" s="1">
        <v>0</v>
      </c>
      <c r="V527" s="1">
        <v>0</v>
      </c>
      <c r="W527" s="1">
        <v>0</v>
      </c>
      <c r="X527" s="1">
        <v>0</v>
      </c>
      <c r="Y527" s="1">
        <v>0</v>
      </c>
      <c r="Z527" s="1">
        <v>1357616.0699999998</v>
      </c>
      <c r="AA527" s="1">
        <v>0</v>
      </c>
    </row>
    <row r="528" spans="1:27" s="75" customFormat="1" ht="34.5" customHeight="1">
      <c r="A528" s="158" t="s">
        <v>462</v>
      </c>
      <c r="B528" s="160"/>
      <c r="C528" s="1">
        <f t="shared" ref="C528:AA528" si="176">SUM(C529:C536)</f>
        <v>24607036.960000001</v>
      </c>
      <c r="D528" s="1">
        <f t="shared" si="176"/>
        <v>913639.74</v>
      </c>
      <c r="E528" s="1">
        <f t="shared" si="176"/>
        <v>0</v>
      </c>
      <c r="F528" s="1">
        <f t="shared" si="176"/>
        <v>0</v>
      </c>
      <c r="G528" s="1">
        <f t="shared" si="176"/>
        <v>0</v>
      </c>
      <c r="H528" s="1">
        <f t="shared" si="176"/>
        <v>559808.91</v>
      </c>
      <c r="I528" s="1">
        <f t="shared" si="176"/>
        <v>0</v>
      </c>
      <c r="J528" s="1">
        <f t="shared" si="176"/>
        <v>353830.83</v>
      </c>
      <c r="K528" s="1">
        <f t="shared" si="176"/>
        <v>0</v>
      </c>
      <c r="L528" s="1">
        <f t="shared" si="176"/>
        <v>0</v>
      </c>
      <c r="M528" s="1">
        <f t="shared" si="176"/>
        <v>0</v>
      </c>
      <c r="N528" s="1">
        <f t="shared" si="176"/>
        <v>0</v>
      </c>
      <c r="O528" s="1">
        <f t="shared" si="176"/>
        <v>3912.52</v>
      </c>
      <c r="P528" s="1">
        <f t="shared" si="176"/>
        <v>20478535.25</v>
      </c>
      <c r="Q528" s="1">
        <f t="shared" si="176"/>
        <v>0</v>
      </c>
      <c r="R528" s="1">
        <f t="shared" si="176"/>
        <v>0</v>
      </c>
      <c r="S528" s="1">
        <f t="shared" si="176"/>
        <v>0</v>
      </c>
      <c r="T528" s="1">
        <f t="shared" si="176"/>
        <v>0</v>
      </c>
      <c r="U528" s="1">
        <f t="shared" si="176"/>
        <v>0</v>
      </c>
      <c r="V528" s="1">
        <f t="shared" si="176"/>
        <v>0</v>
      </c>
      <c r="W528" s="1">
        <f t="shared" si="176"/>
        <v>19</v>
      </c>
      <c r="X528" s="1">
        <f t="shared" si="176"/>
        <v>2005171.47</v>
      </c>
      <c r="Y528" s="1">
        <f t="shared" si="176"/>
        <v>0</v>
      </c>
      <c r="Z528" s="1">
        <f t="shared" si="176"/>
        <v>1209690.5</v>
      </c>
      <c r="AA528" s="1">
        <f t="shared" si="176"/>
        <v>0</v>
      </c>
    </row>
    <row r="529" spans="1:27" s="75" customFormat="1" ht="34.5" customHeight="1">
      <c r="A529" s="76">
        <v>136</v>
      </c>
      <c r="B529" s="121" t="s">
        <v>60</v>
      </c>
      <c r="C529" s="1">
        <f t="shared" ref="C529" si="177">D529+L529+N529+P529+R529+T529+V529+X529+Y529+Z529+AA529</f>
        <v>6099848.7300000004</v>
      </c>
      <c r="D529" s="1">
        <f t="shared" ref="D529" si="178">E529+F529+G529+H529+I529+J529</f>
        <v>0</v>
      </c>
      <c r="E529" s="2">
        <v>0</v>
      </c>
      <c r="F529" s="2">
        <v>0</v>
      </c>
      <c r="G529" s="2">
        <v>0</v>
      </c>
      <c r="H529" s="2">
        <v>0</v>
      </c>
      <c r="I529" s="2">
        <v>0</v>
      </c>
      <c r="J529" s="2">
        <v>0</v>
      </c>
      <c r="K529" s="2"/>
      <c r="L529" s="2">
        <v>0</v>
      </c>
      <c r="M529" s="2"/>
      <c r="N529" s="2">
        <v>0</v>
      </c>
      <c r="O529" s="3">
        <v>930.52</v>
      </c>
      <c r="P529" s="1">
        <v>5969670.4800000004</v>
      </c>
      <c r="Q529" s="3">
        <v>0</v>
      </c>
      <c r="R529" s="3">
        <v>0</v>
      </c>
      <c r="S529" s="3">
        <v>0</v>
      </c>
      <c r="T529" s="3">
        <v>0</v>
      </c>
      <c r="U529" s="3">
        <v>0</v>
      </c>
      <c r="V529" s="3">
        <v>0</v>
      </c>
      <c r="W529" s="3">
        <v>0</v>
      </c>
      <c r="X529" s="3">
        <v>0</v>
      </c>
      <c r="Y529" s="3">
        <v>0</v>
      </c>
      <c r="Z529" s="1">
        <v>130178.25</v>
      </c>
      <c r="AA529" s="2">
        <v>0</v>
      </c>
    </row>
    <row r="530" spans="1:27" s="75" customFormat="1" ht="33" customHeight="1">
      <c r="A530" s="76">
        <v>137</v>
      </c>
      <c r="B530" s="121" t="s">
        <v>61</v>
      </c>
      <c r="C530" s="1">
        <f t="shared" ref="C530:C536" si="179">D530+L530+N530+P530+R530+T530+V530+X530+Y530+Z530+AA530</f>
        <v>2617852.0699999998</v>
      </c>
      <c r="D530" s="1">
        <f t="shared" ref="D530:D536" si="180">E530+F530+G530+H530+I530+J530</f>
        <v>0</v>
      </c>
      <c r="E530" s="2">
        <v>0</v>
      </c>
      <c r="F530" s="2">
        <v>0</v>
      </c>
      <c r="G530" s="2">
        <v>0</v>
      </c>
      <c r="H530" s="2">
        <v>0</v>
      </c>
      <c r="I530" s="2">
        <v>0</v>
      </c>
      <c r="J530" s="2">
        <v>0</v>
      </c>
      <c r="K530" s="2"/>
      <c r="L530" s="2">
        <v>0</v>
      </c>
      <c r="M530" s="2"/>
      <c r="N530" s="2">
        <v>0</v>
      </c>
      <c r="O530" s="3">
        <v>983.5</v>
      </c>
      <c r="P530" s="1">
        <v>2478218</v>
      </c>
      <c r="Q530" s="3">
        <v>0</v>
      </c>
      <c r="R530" s="3">
        <v>0</v>
      </c>
      <c r="S530" s="3">
        <v>0</v>
      </c>
      <c r="T530" s="3">
        <v>0</v>
      </c>
      <c r="U530" s="3">
        <v>0</v>
      </c>
      <c r="V530" s="3">
        <v>0</v>
      </c>
      <c r="W530" s="3">
        <v>0</v>
      </c>
      <c r="X530" s="3">
        <v>0</v>
      </c>
      <c r="Y530" s="3">
        <v>0</v>
      </c>
      <c r="Z530" s="1">
        <v>139634.07</v>
      </c>
      <c r="AA530" s="2">
        <v>0</v>
      </c>
    </row>
    <row r="531" spans="1:27" s="75" customFormat="1" ht="33" customHeight="1">
      <c r="A531" s="76">
        <v>138</v>
      </c>
      <c r="B531" s="121" t="s">
        <v>62</v>
      </c>
      <c r="C531" s="1">
        <f t="shared" si="179"/>
        <v>1522498.75</v>
      </c>
      <c r="D531" s="1">
        <f t="shared" si="180"/>
        <v>0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  <c r="J531" s="2">
        <v>0</v>
      </c>
      <c r="K531" s="2"/>
      <c r="L531" s="2">
        <v>0</v>
      </c>
      <c r="M531" s="2"/>
      <c r="N531" s="2">
        <v>0</v>
      </c>
      <c r="O531" s="3">
        <v>293</v>
      </c>
      <c r="P531" s="1">
        <v>1431762.51</v>
      </c>
      <c r="Q531" s="3">
        <v>0</v>
      </c>
      <c r="R531" s="3">
        <v>0</v>
      </c>
      <c r="S531" s="3">
        <v>0</v>
      </c>
      <c r="T531" s="3">
        <v>0</v>
      </c>
      <c r="U531" s="3">
        <v>0</v>
      </c>
      <c r="V531" s="3">
        <v>0</v>
      </c>
      <c r="W531" s="3">
        <v>0</v>
      </c>
      <c r="X531" s="3">
        <v>0</v>
      </c>
      <c r="Y531" s="3">
        <v>0</v>
      </c>
      <c r="Z531" s="1">
        <v>90736.24</v>
      </c>
      <c r="AA531" s="2">
        <v>0</v>
      </c>
    </row>
    <row r="532" spans="1:27" s="75" customFormat="1" ht="36.75" customHeight="1">
      <c r="A532" s="76">
        <v>139</v>
      </c>
      <c r="B532" s="121" t="s">
        <v>860</v>
      </c>
      <c r="C532" s="1">
        <f t="shared" si="179"/>
        <v>8647366.75</v>
      </c>
      <c r="D532" s="1">
        <f t="shared" si="180"/>
        <v>0</v>
      </c>
      <c r="E532" s="2">
        <v>0</v>
      </c>
      <c r="F532" s="2">
        <v>0</v>
      </c>
      <c r="G532" s="2">
        <v>0</v>
      </c>
      <c r="H532" s="2">
        <v>0</v>
      </c>
      <c r="I532" s="2">
        <v>0</v>
      </c>
      <c r="J532" s="2">
        <v>0</v>
      </c>
      <c r="K532" s="2"/>
      <c r="L532" s="2">
        <v>0</v>
      </c>
      <c r="M532" s="2"/>
      <c r="N532" s="2">
        <v>0</v>
      </c>
      <c r="O532" s="3">
        <v>1250</v>
      </c>
      <c r="P532" s="1">
        <v>8019266.75</v>
      </c>
      <c r="Q532" s="3">
        <v>0</v>
      </c>
      <c r="R532" s="3">
        <v>0</v>
      </c>
      <c r="S532" s="3">
        <v>0</v>
      </c>
      <c r="T532" s="3">
        <v>0</v>
      </c>
      <c r="U532" s="3">
        <v>0</v>
      </c>
      <c r="V532" s="3">
        <v>0</v>
      </c>
      <c r="W532" s="3">
        <v>0</v>
      </c>
      <c r="X532" s="3">
        <v>0</v>
      </c>
      <c r="Y532" s="3">
        <v>0</v>
      </c>
      <c r="Z532" s="1">
        <v>628100</v>
      </c>
      <c r="AA532" s="2">
        <v>0</v>
      </c>
    </row>
    <row r="533" spans="1:27" s="75" customFormat="1" ht="34.5" customHeight="1">
      <c r="A533" s="76">
        <v>140</v>
      </c>
      <c r="B533" s="121" t="s">
        <v>64</v>
      </c>
      <c r="C533" s="1">
        <f t="shared" si="179"/>
        <v>381544.23000000004</v>
      </c>
      <c r="D533" s="1">
        <f t="shared" si="180"/>
        <v>353830.83</v>
      </c>
      <c r="E533" s="2">
        <v>0</v>
      </c>
      <c r="F533" s="2">
        <v>0</v>
      </c>
      <c r="G533" s="2">
        <v>0</v>
      </c>
      <c r="H533" s="2">
        <v>0</v>
      </c>
      <c r="I533" s="2">
        <v>0</v>
      </c>
      <c r="J533" s="1">
        <v>353830.83</v>
      </c>
      <c r="K533" s="2"/>
      <c r="L533" s="2">
        <v>0</v>
      </c>
      <c r="M533" s="2"/>
      <c r="N533" s="2">
        <v>0</v>
      </c>
      <c r="O533" s="3">
        <v>0</v>
      </c>
      <c r="P533" s="1">
        <v>0</v>
      </c>
      <c r="Q533" s="3">
        <v>0</v>
      </c>
      <c r="R533" s="3">
        <v>0</v>
      </c>
      <c r="S533" s="3">
        <v>0</v>
      </c>
      <c r="T533" s="3">
        <v>0</v>
      </c>
      <c r="U533" s="3">
        <v>0</v>
      </c>
      <c r="V533" s="3">
        <v>0</v>
      </c>
      <c r="W533" s="3">
        <v>0</v>
      </c>
      <c r="X533" s="3">
        <v>0</v>
      </c>
      <c r="Y533" s="3">
        <v>0</v>
      </c>
      <c r="Z533" s="1">
        <v>27713.4</v>
      </c>
      <c r="AA533" s="2">
        <v>0</v>
      </c>
    </row>
    <row r="534" spans="1:27" s="75" customFormat="1" ht="39.75" customHeight="1">
      <c r="A534" s="76">
        <v>141</v>
      </c>
      <c r="B534" s="121" t="s">
        <v>65</v>
      </c>
      <c r="C534" s="1">
        <f t="shared" si="179"/>
        <v>2729100.05</v>
      </c>
      <c r="D534" s="1">
        <f t="shared" si="180"/>
        <v>0</v>
      </c>
      <c r="E534" s="2">
        <v>0</v>
      </c>
      <c r="F534" s="2">
        <v>0</v>
      </c>
      <c r="G534" s="2">
        <v>0</v>
      </c>
      <c r="H534" s="2">
        <v>0</v>
      </c>
      <c r="I534" s="2">
        <v>0</v>
      </c>
      <c r="J534" s="2">
        <v>0</v>
      </c>
      <c r="K534" s="2"/>
      <c r="L534" s="2">
        <v>0</v>
      </c>
      <c r="M534" s="2"/>
      <c r="N534" s="2">
        <v>0</v>
      </c>
      <c r="O534" s="3">
        <v>455.5</v>
      </c>
      <c r="P534" s="1">
        <v>2579617.5099999998</v>
      </c>
      <c r="Q534" s="3">
        <v>0</v>
      </c>
      <c r="R534" s="3">
        <v>0</v>
      </c>
      <c r="S534" s="3">
        <v>0</v>
      </c>
      <c r="T534" s="3">
        <v>0</v>
      </c>
      <c r="U534" s="3">
        <v>0</v>
      </c>
      <c r="V534" s="3">
        <v>0</v>
      </c>
      <c r="W534" s="3">
        <v>0</v>
      </c>
      <c r="X534" s="3">
        <v>0</v>
      </c>
      <c r="Y534" s="3">
        <v>0</v>
      </c>
      <c r="Z534" s="1">
        <v>149482.54</v>
      </c>
      <c r="AA534" s="2">
        <v>0</v>
      </c>
    </row>
    <row r="535" spans="1:27" s="75" customFormat="1" ht="30" customHeight="1">
      <c r="A535" s="76">
        <v>142</v>
      </c>
      <c r="B535" s="121" t="s">
        <v>64</v>
      </c>
      <c r="C535" s="1">
        <f t="shared" si="179"/>
        <v>603654.91</v>
      </c>
      <c r="D535" s="1">
        <v>559808.91</v>
      </c>
      <c r="E535" s="2">
        <v>0</v>
      </c>
      <c r="F535" s="2">
        <v>0</v>
      </c>
      <c r="G535" s="2">
        <v>0</v>
      </c>
      <c r="H535" s="1">
        <v>559808.91</v>
      </c>
      <c r="I535" s="2">
        <v>0</v>
      </c>
      <c r="J535" s="2">
        <v>0</v>
      </c>
      <c r="K535" s="2"/>
      <c r="L535" s="2">
        <v>0</v>
      </c>
      <c r="M535" s="2"/>
      <c r="N535" s="2">
        <v>0</v>
      </c>
      <c r="O535" s="3">
        <v>0</v>
      </c>
      <c r="P535" s="1">
        <v>0</v>
      </c>
      <c r="Q535" s="3">
        <v>0</v>
      </c>
      <c r="R535" s="3">
        <v>0</v>
      </c>
      <c r="S535" s="3">
        <v>0</v>
      </c>
      <c r="T535" s="3">
        <v>0</v>
      </c>
      <c r="U535" s="3">
        <v>0</v>
      </c>
      <c r="V535" s="3">
        <v>0</v>
      </c>
      <c r="W535" s="3">
        <v>0</v>
      </c>
      <c r="X535" s="3">
        <v>0</v>
      </c>
      <c r="Y535" s="3">
        <v>0</v>
      </c>
      <c r="Z535" s="1">
        <v>43846</v>
      </c>
      <c r="AA535" s="2">
        <v>0</v>
      </c>
    </row>
    <row r="536" spans="1:27" s="75" customFormat="1" ht="32.25" customHeight="1">
      <c r="A536" s="76">
        <v>143</v>
      </c>
      <c r="B536" s="121" t="s">
        <v>66</v>
      </c>
      <c r="C536" s="1">
        <f t="shared" si="179"/>
        <v>2005171.47</v>
      </c>
      <c r="D536" s="1">
        <f t="shared" si="180"/>
        <v>0</v>
      </c>
      <c r="E536" s="2">
        <v>0</v>
      </c>
      <c r="F536" s="2">
        <v>0</v>
      </c>
      <c r="G536" s="2">
        <v>0</v>
      </c>
      <c r="H536" s="2">
        <v>0</v>
      </c>
      <c r="I536" s="2">
        <v>0</v>
      </c>
      <c r="J536" s="2">
        <v>0</v>
      </c>
      <c r="K536" s="2"/>
      <c r="L536" s="2">
        <v>0</v>
      </c>
      <c r="M536" s="2"/>
      <c r="N536" s="2">
        <v>0</v>
      </c>
      <c r="O536" s="3">
        <v>0</v>
      </c>
      <c r="P536" s="1">
        <v>0</v>
      </c>
      <c r="Q536" s="3">
        <v>0</v>
      </c>
      <c r="R536" s="3">
        <v>0</v>
      </c>
      <c r="S536" s="3">
        <v>0</v>
      </c>
      <c r="T536" s="3">
        <v>0</v>
      </c>
      <c r="U536" s="3">
        <v>0</v>
      </c>
      <c r="V536" s="3">
        <v>0</v>
      </c>
      <c r="W536" s="3">
        <v>19</v>
      </c>
      <c r="X536" s="63">
        <v>2005171.47</v>
      </c>
      <c r="Y536" s="3">
        <v>0</v>
      </c>
      <c r="Z536" s="1">
        <v>0</v>
      </c>
      <c r="AA536" s="2">
        <v>0</v>
      </c>
    </row>
    <row r="537" spans="1:27" s="75" customFormat="1" ht="37.5" customHeight="1">
      <c r="A537" s="158" t="s">
        <v>153</v>
      </c>
      <c r="B537" s="160"/>
      <c r="C537" s="1">
        <f t="shared" ref="C537:AA537" si="181">SUM(C538:C547)</f>
        <v>58425787.539999999</v>
      </c>
      <c r="D537" s="1">
        <f t="shared" si="181"/>
        <v>17395875.330000002</v>
      </c>
      <c r="E537" s="1">
        <f t="shared" si="181"/>
        <v>0</v>
      </c>
      <c r="F537" s="1">
        <f t="shared" si="181"/>
        <v>13295621</v>
      </c>
      <c r="G537" s="1">
        <f t="shared" si="181"/>
        <v>0</v>
      </c>
      <c r="H537" s="1">
        <f t="shared" si="181"/>
        <v>0</v>
      </c>
      <c r="I537" s="1">
        <f t="shared" si="181"/>
        <v>0</v>
      </c>
      <c r="J537" s="1">
        <f t="shared" si="181"/>
        <v>4100254.33</v>
      </c>
      <c r="K537" s="1">
        <f t="shared" si="181"/>
        <v>3</v>
      </c>
      <c r="L537" s="1">
        <f t="shared" si="181"/>
        <v>1060655.96</v>
      </c>
      <c r="M537" s="1">
        <f t="shared" si="181"/>
        <v>0</v>
      </c>
      <c r="N537" s="1">
        <f t="shared" si="181"/>
        <v>0</v>
      </c>
      <c r="O537" s="1">
        <f t="shared" si="181"/>
        <v>4518</v>
      </c>
      <c r="P537" s="1">
        <f t="shared" si="181"/>
        <v>36691864.550000004</v>
      </c>
      <c r="Q537" s="1">
        <f t="shared" si="181"/>
        <v>0</v>
      </c>
      <c r="R537" s="1">
        <f t="shared" si="181"/>
        <v>0</v>
      </c>
      <c r="S537" s="1">
        <f t="shared" si="181"/>
        <v>0</v>
      </c>
      <c r="T537" s="1">
        <f t="shared" si="181"/>
        <v>0</v>
      </c>
      <c r="U537" s="1">
        <f t="shared" si="181"/>
        <v>0</v>
      </c>
      <c r="V537" s="1">
        <f t="shared" si="181"/>
        <v>0</v>
      </c>
      <c r="W537" s="1">
        <f t="shared" si="181"/>
        <v>0</v>
      </c>
      <c r="X537" s="1">
        <f t="shared" si="181"/>
        <v>0</v>
      </c>
      <c r="Y537" s="1">
        <f t="shared" si="181"/>
        <v>0</v>
      </c>
      <c r="Z537" s="1">
        <f t="shared" si="181"/>
        <v>3277391.7</v>
      </c>
      <c r="AA537" s="1">
        <f t="shared" si="181"/>
        <v>0</v>
      </c>
    </row>
    <row r="538" spans="1:27" s="75" customFormat="1" ht="27.75" customHeight="1">
      <c r="A538" s="76">
        <v>144</v>
      </c>
      <c r="B538" s="121" t="s">
        <v>515</v>
      </c>
      <c r="C538" s="8">
        <f>D538+L538+N538+P538+R538+T538+V538+X538+Y538+Z538+AA538</f>
        <v>2463360.0700000003</v>
      </c>
      <c r="D538" s="1">
        <f>E538+F538+G538+H538+I538+J538</f>
        <v>2284434.33</v>
      </c>
      <c r="E538" s="2">
        <v>0</v>
      </c>
      <c r="F538" s="2">
        <v>0</v>
      </c>
      <c r="G538" s="2">
        <v>0</v>
      </c>
      <c r="H538" s="2">
        <v>0</v>
      </c>
      <c r="I538" s="2">
        <v>0</v>
      </c>
      <c r="J538" s="8">
        <v>2284434.33</v>
      </c>
      <c r="K538" s="2">
        <v>0</v>
      </c>
      <c r="L538" s="2">
        <v>0</v>
      </c>
      <c r="M538" s="2">
        <v>0</v>
      </c>
      <c r="N538" s="2">
        <v>0</v>
      </c>
      <c r="O538" s="2">
        <v>0</v>
      </c>
      <c r="P538" s="2">
        <v>0</v>
      </c>
      <c r="Q538" s="2">
        <v>0</v>
      </c>
      <c r="R538" s="2">
        <v>0</v>
      </c>
      <c r="S538" s="2">
        <v>0</v>
      </c>
      <c r="T538" s="2">
        <v>0</v>
      </c>
      <c r="U538" s="2">
        <v>0</v>
      </c>
      <c r="V538" s="2">
        <v>0</v>
      </c>
      <c r="W538" s="2">
        <v>0</v>
      </c>
      <c r="X538" s="2">
        <v>0</v>
      </c>
      <c r="Y538" s="2">
        <v>0</v>
      </c>
      <c r="Z538" s="8">
        <v>178925.74</v>
      </c>
      <c r="AA538" s="2">
        <v>0</v>
      </c>
    </row>
    <row r="539" spans="1:27" s="75" customFormat="1" ht="29.25" customHeight="1">
      <c r="A539" s="76">
        <v>145</v>
      </c>
      <c r="B539" s="121" t="s">
        <v>516</v>
      </c>
      <c r="C539" s="8">
        <f t="shared" ref="C539:C550" si="182">D539+L539+N539+P539+R539+T539+V539+X539+Y539+Z539+AA539</f>
        <v>1958042</v>
      </c>
      <c r="D539" s="1">
        <f t="shared" ref="D539:D551" si="183">E539+F539+G539+H539+I539+J539</f>
        <v>1815820</v>
      </c>
      <c r="E539" s="2">
        <v>0</v>
      </c>
      <c r="F539" s="2">
        <v>0</v>
      </c>
      <c r="G539" s="2">
        <v>0</v>
      </c>
      <c r="H539" s="2">
        <v>0</v>
      </c>
      <c r="I539" s="2">
        <v>0</v>
      </c>
      <c r="J539" s="8">
        <v>1815820</v>
      </c>
      <c r="K539" s="2">
        <v>0</v>
      </c>
      <c r="L539" s="2">
        <v>0</v>
      </c>
      <c r="M539" s="2">
        <v>0</v>
      </c>
      <c r="N539" s="2">
        <v>0</v>
      </c>
      <c r="O539" s="2">
        <v>0</v>
      </c>
      <c r="P539" s="2">
        <v>0</v>
      </c>
      <c r="Q539" s="2">
        <v>0</v>
      </c>
      <c r="R539" s="2">
        <v>0</v>
      </c>
      <c r="S539" s="2">
        <v>0</v>
      </c>
      <c r="T539" s="2">
        <v>0</v>
      </c>
      <c r="U539" s="2">
        <v>0</v>
      </c>
      <c r="V539" s="2">
        <v>0</v>
      </c>
      <c r="W539" s="2">
        <v>0</v>
      </c>
      <c r="X539" s="2">
        <v>0</v>
      </c>
      <c r="Y539" s="2">
        <v>0</v>
      </c>
      <c r="Z539" s="8">
        <v>142222</v>
      </c>
      <c r="AA539" s="2">
        <v>0</v>
      </c>
    </row>
    <row r="540" spans="1:27" s="75" customFormat="1" ht="29.25" customHeight="1">
      <c r="A540" s="76">
        <v>146</v>
      </c>
      <c r="B540" s="121" t="s">
        <v>517</v>
      </c>
      <c r="C540" s="8">
        <f t="shared" si="182"/>
        <v>7129266.5999999987</v>
      </c>
      <c r="D540" s="1">
        <f t="shared" si="183"/>
        <v>6245496.5599999996</v>
      </c>
      <c r="E540" s="2">
        <v>0</v>
      </c>
      <c r="F540" s="8">
        <v>6245496.5599999996</v>
      </c>
      <c r="G540" s="2">
        <v>0</v>
      </c>
      <c r="H540" s="2">
        <v>0</v>
      </c>
      <c r="I540" s="2">
        <v>0</v>
      </c>
      <c r="J540" s="2">
        <v>0</v>
      </c>
      <c r="K540" s="1">
        <v>1</v>
      </c>
      <c r="L540" s="8">
        <v>365936.98</v>
      </c>
      <c r="M540" s="2">
        <v>0</v>
      </c>
      <c r="N540" s="2">
        <v>0</v>
      </c>
      <c r="O540" s="2">
        <v>0</v>
      </c>
      <c r="P540" s="2">
        <v>0</v>
      </c>
      <c r="Q540" s="2">
        <v>0</v>
      </c>
      <c r="R540" s="2">
        <v>0</v>
      </c>
      <c r="S540" s="2">
        <v>0</v>
      </c>
      <c r="T540" s="2">
        <v>0</v>
      </c>
      <c r="U540" s="2">
        <v>0</v>
      </c>
      <c r="V540" s="2">
        <v>0</v>
      </c>
      <c r="W540" s="2">
        <v>0</v>
      </c>
      <c r="X540" s="2">
        <v>0</v>
      </c>
      <c r="Y540" s="2">
        <v>0</v>
      </c>
      <c r="Z540" s="8">
        <v>517833.06</v>
      </c>
      <c r="AA540" s="2">
        <v>0</v>
      </c>
    </row>
    <row r="541" spans="1:27" s="75" customFormat="1" ht="34.5" customHeight="1">
      <c r="A541" s="76">
        <v>147</v>
      </c>
      <c r="B541" s="121" t="s">
        <v>518</v>
      </c>
      <c r="C541" s="8">
        <f t="shared" si="182"/>
        <v>7996916.04</v>
      </c>
      <c r="D541" s="1">
        <f t="shared" si="183"/>
        <v>7050124.4400000004</v>
      </c>
      <c r="E541" s="2">
        <v>0</v>
      </c>
      <c r="F541" s="8">
        <v>7050124.4400000004</v>
      </c>
      <c r="G541" s="2">
        <v>0</v>
      </c>
      <c r="H541" s="2">
        <v>0</v>
      </c>
      <c r="I541" s="2">
        <v>0</v>
      </c>
      <c r="J541" s="2">
        <v>0</v>
      </c>
      <c r="K541" s="1">
        <v>1</v>
      </c>
      <c r="L541" s="8">
        <v>365936.98</v>
      </c>
      <c r="M541" s="2">
        <v>0</v>
      </c>
      <c r="N541" s="2">
        <v>0</v>
      </c>
      <c r="O541" s="2">
        <v>0</v>
      </c>
      <c r="P541" s="2">
        <v>0</v>
      </c>
      <c r="Q541" s="2">
        <v>0</v>
      </c>
      <c r="R541" s="2">
        <v>0</v>
      </c>
      <c r="S541" s="2">
        <v>0</v>
      </c>
      <c r="T541" s="2">
        <v>0</v>
      </c>
      <c r="U541" s="2">
        <v>0</v>
      </c>
      <c r="V541" s="2">
        <v>0</v>
      </c>
      <c r="W541" s="2">
        <v>0</v>
      </c>
      <c r="X541" s="2">
        <v>0</v>
      </c>
      <c r="Y541" s="2">
        <v>0</v>
      </c>
      <c r="Z541" s="8">
        <v>580854.62</v>
      </c>
      <c r="AA541" s="2">
        <v>0</v>
      </c>
    </row>
    <row r="542" spans="1:27" s="75" customFormat="1" ht="33" customHeight="1">
      <c r="A542" s="76">
        <v>148</v>
      </c>
      <c r="B542" s="121" t="s">
        <v>554</v>
      </c>
      <c r="C542" s="8">
        <f t="shared" si="182"/>
        <v>5709272.46</v>
      </c>
      <c r="D542" s="1">
        <f t="shared" si="183"/>
        <v>0</v>
      </c>
      <c r="E542" s="2">
        <v>0</v>
      </c>
      <c r="F542" s="2">
        <v>0</v>
      </c>
      <c r="G542" s="2">
        <v>0</v>
      </c>
      <c r="H542" s="2">
        <v>0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2">
        <v>0</v>
      </c>
      <c r="O542" s="8">
        <v>594</v>
      </c>
      <c r="P542" s="8">
        <v>5525322.54</v>
      </c>
      <c r="Q542" s="2">
        <v>0</v>
      </c>
      <c r="R542" s="2">
        <v>0</v>
      </c>
      <c r="S542" s="2">
        <v>0</v>
      </c>
      <c r="T542" s="2">
        <v>0</v>
      </c>
      <c r="U542" s="2">
        <v>0</v>
      </c>
      <c r="V542" s="2">
        <v>0</v>
      </c>
      <c r="W542" s="2">
        <v>0</v>
      </c>
      <c r="X542" s="2">
        <v>0</v>
      </c>
      <c r="Y542" s="2">
        <v>0</v>
      </c>
      <c r="Z542" s="8">
        <v>183949.92</v>
      </c>
      <c r="AA542" s="2">
        <v>0</v>
      </c>
    </row>
    <row r="543" spans="1:27" s="75" customFormat="1" ht="27.75" customHeight="1">
      <c r="A543" s="76">
        <v>149</v>
      </c>
      <c r="B543" s="121" t="s">
        <v>520</v>
      </c>
      <c r="C543" s="8">
        <f t="shared" si="182"/>
        <v>354533</v>
      </c>
      <c r="D543" s="1">
        <f>E543+F543+G543+H543+I543+J543</f>
        <v>0</v>
      </c>
      <c r="E543" s="2">
        <v>0</v>
      </c>
      <c r="F543" s="8">
        <v>0</v>
      </c>
      <c r="G543" s="2">
        <v>0</v>
      </c>
      <c r="H543" s="2">
        <v>0</v>
      </c>
      <c r="I543" s="2">
        <v>0</v>
      </c>
      <c r="J543" s="2">
        <v>0</v>
      </c>
      <c r="K543" s="1">
        <v>1</v>
      </c>
      <c r="L543" s="8">
        <v>328782</v>
      </c>
      <c r="M543" s="2">
        <v>0</v>
      </c>
      <c r="N543" s="2">
        <v>0</v>
      </c>
      <c r="O543" s="2">
        <v>0</v>
      </c>
      <c r="P543" s="2">
        <v>0</v>
      </c>
      <c r="Q543" s="2">
        <v>0</v>
      </c>
      <c r="R543" s="2">
        <v>0</v>
      </c>
      <c r="S543" s="2">
        <v>0</v>
      </c>
      <c r="T543" s="2">
        <v>0</v>
      </c>
      <c r="U543" s="2">
        <v>0</v>
      </c>
      <c r="V543" s="2">
        <v>0</v>
      </c>
      <c r="W543" s="2">
        <v>0</v>
      </c>
      <c r="X543" s="2">
        <v>0</v>
      </c>
      <c r="Y543" s="2">
        <v>0</v>
      </c>
      <c r="Z543" s="8">
        <v>25751</v>
      </c>
      <c r="AA543" s="2">
        <v>0</v>
      </c>
    </row>
    <row r="544" spans="1:27" s="75" customFormat="1" ht="36.75" customHeight="1">
      <c r="A544" s="76">
        <v>150</v>
      </c>
      <c r="B544" s="121" t="s">
        <v>521</v>
      </c>
      <c r="C544" s="8">
        <f t="shared" si="182"/>
        <v>7448074.6700000009</v>
      </c>
      <c r="D544" s="1">
        <f t="shared" si="183"/>
        <v>0</v>
      </c>
      <c r="E544" s="2">
        <v>0</v>
      </c>
      <c r="F544" s="2">
        <v>0</v>
      </c>
      <c r="G544" s="2">
        <v>0</v>
      </c>
      <c r="H544" s="2">
        <v>0</v>
      </c>
      <c r="I544" s="2">
        <v>0</v>
      </c>
      <c r="J544" s="2">
        <v>0</v>
      </c>
      <c r="K544" s="2">
        <v>0</v>
      </c>
      <c r="L544" s="2">
        <v>0</v>
      </c>
      <c r="M544" s="2">
        <v>0</v>
      </c>
      <c r="N544" s="2">
        <v>0</v>
      </c>
      <c r="O544" s="8">
        <v>914</v>
      </c>
      <c r="P544" s="8">
        <v>7107189.2300000004</v>
      </c>
      <c r="Q544" s="2">
        <v>0</v>
      </c>
      <c r="R544" s="2">
        <v>0</v>
      </c>
      <c r="S544" s="2">
        <v>0</v>
      </c>
      <c r="T544" s="2">
        <v>0</v>
      </c>
      <c r="U544" s="2">
        <v>0</v>
      </c>
      <c r="V544" s="2">
        <v>0</v>
      </c>
      <c r="W544" s="2">
        <v>0</v>
      </c>
      <c r="X544" s="2">
        <v>0</v>
      </c>
      <c r="Y544" s="2">
        <v>0</v>
      </c>
      <c r="Z544" s="8">
        <v>340885.44</v>
      </c>
      <c r="AA544" s="2">
        <v>0</v>
      </c>
    </row>
    <row r="545" spans="1:27" s="75" customFormat="1" ht="35.25" customHeight="1">
      <c r="A545" s="76">
        <v>151</v>
      </c>
      <c r="B545" s="121" t="s">
        <v>522</v>
      </c>
      <c r="C545" s="8">
        <f t="shared" si="182"/>
        <v>9966078.040000001</v>
      </c>
      <c r="D545" s="1">
        <f t="shared" si="183"/>
        <v>0</v>
      </c>
      <c r="E545" s="2">
        <v>0</v>
      </c>
      <c r="F545" s="2">
        <v>0</v>
      </c>
      <c r="G545" s="2">
        <v>0</v>
      </c>
      <c r="H545" s="2">
        <v>0</v>
      </c>
      <c r="I545" s="2">
        <v>0</v>
      </c>
      <c r="J545" s="2">
        <v>0</v>
      </c>
      <c r="K545" s="2">
        <v>0</v>
      </c>
      <c r="L545" s="2">
        <v>0</v>
      </c>
      <c r="M545" s="2">
        <v>0</v>
      </c>
      <c r="N545" s="2">
        <v>0</v>
      </c>
      <c r="O545" s="8">
        <v>1223</v>
      </c>
      <c r="P545" s="8">
        <v>9509947.9600000009</v>
      </c>
      <c r="Q545" s="2">
        <v>0</v>
      </c>
      <c r="R545" s="2">
        <v>0</v>
      </c>
      <c r="S545" s="2">
        <v>0</v>
      </c>
      <c r="T545" s="2">
        <v>0</v>
      </c>
      <c r="U545" s="2">
        <v>0</v>
      </c>
      <c r="V545" s="2">
        <v>0</v>
      </c>
      <c r="W545" s="2">
        <v>0</v>
      </c>
      <c r="X545" s="2">
        <v>0</v>
      </c>
      <c r="Y545" s="2">
        <v>0</v>
      </c>
      <c r="Z545" s="8">
        <v>456130.08</v>
      </c>
      <c r="AA545" s="2">
        <v>0</v>
      </c>
    </row>
    <row r="546" spans="1:27" s="75" customFormat="1" ht="36.75" customHeight="1">
      <c r="A546" s="76">
        <v>152</v>
      </c>
      <c r="B546" s="121" t="s">
        <v>523</v>
      </c>
      <c r="C546" s="8">
        <f t="shared" si="182"/>
        <v>9966078.040000001</v>
      </c>
      <c r="D546" s="1">
        <f t="shared" si="183"/>
        <v>0</v>
      </c>
      <c r="E546" s="2">
        <v>0</v>
      </c>
      <c r="F546" s="2">
        <v>0</v>
      </c>
      <c r="G546" s="2">
        <v>0</v>
      </c>
      <c r="H546" s="2">
        <v>0</v>
      </c>
      <c r="I546" s="2">
        <v>0</v>
      </c>
      <c r="J546" s="2">
        <v>0</v>
      </c>
      <c r="K546" s="2">
        <v>0</v>
      </c>
      <c r="L546" s="2">
        <v>0</v>
      </c>
      <c r="M546" s="2">
        <v>0</v>
      </c>
      <c r="N546" s="2">
        <v>0</v>
      </c>
      <c r="O546" s="8">
        <v>1223</v>
      </c>
      <c r="P546" s="8">
        <v>9509947.9600000009</v>
      </c>
      <c r="Q546" s="2">
        <v>0</v>
      </c>
      <c r="R546" s="2">
        <v>0</v>
      </c>
      <c r="S546" s="2">
        <v>0</v>
      </c>
      <c r="T546" s="2">
        <v>0</v>
      </c>
      <c r="U546" s="2">
        <v>0</v>
      </c>
      <c r="V546" s="2">
        <v>0</v>
      </c>
      <c r="W546" s="2">
        <v>0</v>
      </c>
      <c r="X546" s="2">
        <v>0</v>
      </c>
      <c r="Y546" s="2">
        <v>0</v>
      </c>
      <c r="Z546" s="8">
        <v>456130.08</v>
      </c>
      <c r="AA546" s="2">
        <v>0</v>
      </c>
    </row>
    <row r="547" spans="1:27" s="75" customFormat="1" ht="39.75" customHeight="1">
      <c r="A547" s="76">
        <v>153</v>
      </c>
      <c r="B547" s="121" t="s">
        <v>524</v>
      </c>
      <c r="C547" s="8">
        <f t="shared" si="182"/>
        <v>5434166.6200000001</v>
      </c>
      <c r="D547" s="1">
        <f t="shared" si="183"/>
        <v>0</v>
      </c>
      <c r="E547" s="2">
        <v>0</v>
      </c>
      <c r="F547" s="2">
        <v>0</v>
      </c>
      <c r="G547" s="2">
        <v>0</v>
      </c>
      <c r="H547" s="2">
        <v>0</v>
      </c>
      <c r="I547" s="2">
        <v>0</v>
      </c>
      <c r="J547" s="2">
        <v>0</v>
      </c>
      <c r="K547" s="2">
        <v>0</v>
      </c>
      <c r="L547" s="2">
        <v>0</v>
      </c>
      <c r="M547" s="2">
        <v>0</v>
      </c>
      <c r="N547" s="2">
        <v>0</v>
      </c>
      <c r="O547" s="8">
        <v>564</v>
      </c>
      <c r="P547" s="8">
        <v>5039456.8600000003</v>
      </c>
      <c r="Q547" s="2">
        <v>0</v>
      </c>
      <c r="R547" s="2">
        <v>0</v>
      </c>
      <c r="S547" s="2">
        <v>0</v>
      </c>
      <c r="T547" s="2">
        <v>0</v>
      </c>
      <c r="U547" s="2">
        <v>0</v>
      </c>
      <c r="V547" s="2">
        <v>0</v>
      </c>
      <c r="W547" s="2">
        <v>0</v>
      </c>
      <c r="X547" s="2">
        <v>0</v>
      </c>
      <c r="Y547" s="2">
        <v>0</v>
      </c>
      <c r="Z547" s="8">
        <v>394709.76000000001</v>
      </c>
      <c r="AA547" s="2">
        <v>0</v>
      </c>
    </row>
    <row r="548" spans="1:27" s="75" customFormat="1" ht="37.5" customHeight="1">
      <c r="A548" s="158" t="s">
        <v>265</v>
      </c>
      <c r="B548" s="160"/>
      <c r="C548" s="8">
        <f>SUM(C549:C551)</f>
        <v>6722387.4000000004</v>
      </c>
      <c r="D548" s="8">
        <f t="shared" ref="D548:AA548" si="184">SUM(D549:D551)</f>
        <v>6234107.9500000002</v>
      </c>
      <c r="E548" s="8">
        <f t="shared" si="184"/>
        <v>6234107.9500000002</v>
      </c>
      <c r="F548" s="8">
        <f t="shared" si="184"/>
        <v>0</v>
      </c>
      <c r="G548" s="8">
        <f t="shared" si="184"/>
        <v>0</v>
      </c>
      <c r="H548" s="8">
        <f t="shared" si="184"/>
        <v>0</v>
      </c>
      <c r="I548" s="8">
        <f t="shared" si="184"/>
        <v>0</v>
      </c>
      <c r="J548" s="8">
        <f t="shared" si="184"/>
        <v>0</v>
      </c>
      <c r="K548" s="8">
        <f t="shared" si="184"/>
        <v>0</v>
      </c>
      <c r="L548" s="8">
        <f t="shared" si="184"/>
        <v>0</v>
      </c>
      <c r="M548" s="8">
        <f t="shared" si="184"/>
        <v>0</v>
      </c>
      <c r="N548" s="8">
        <f t="shared" si="184"/>
        <v>0</v>
      </c>
      <c r="O548" s="8">
        <f t="shared" si="184"/>
        <v>0</v>
      </c>
      <c r="P548" s="8">
        <f t="shared" si="184"/>
        <v>0</v>
      </c>
      <c r="Q548" s="8">
        <f t="shared" si="184"/>
        <v>0</v>
      </c>
      <c r="R548" s="8">
        <f t="shared" si="184"/>
        <v>0</v>
      </c>
      <c r="S548" s="8">
        <f t="shared" si="184"/>
        <v>0</v>
      </c>
      <c r="T548" s="8">
        <f t="shared" si="184"/>
        <v>0</v>
      </c>
      <c r="U548" s="8">
        <f t="shared" si="184"/>
        <v>0</v>
      </c>
      <c r="V548" s="8">
        <f t="shared" si="184"/>
        <v>0</v>
      </c>
      <c r="W548" s="8">
        <f t="shared" si="184"/>
        <v>0</v>
      </c>
      <c r="X548" s="8">
        <f t="shared" si="184"/>
        <v>0</v>
      </c>
      <c r="Y548" s="8">
        <f t="shared" si="184"/>
        <v>0</v>
      </c>
      <c r="Z548" s="8">
        <f t="shared" si="184"/>
        <v>488279.45999999996</v>
      </c>
      <c r="AA548" s="8">
        <f t="shared" si="184"/>
        <v>0</v>
      </c>
    </row>
    <row r="549" spans="1:27" s="75" customFormat="1" ht="31.5" customHeight="1">
      <c r="A549" s="76">
        <v>154</v>
      </c>
      <c r="B549" s="121" t="s">
        <v>266</v>
      </c>
      <c r="C549" s="8">
        <f t="shared" si="182"/>
        <v>2244560.6799999997</v>
      </c>
      <c r="D549" s="1">
        <f t="shared" si="183"/>
        <v>2081527.4</v>
      </c>
      <c r="E549" s="1">
        <v>2081527.4</v>
      </c>
      <c r="F549" s="2">
        <v>0</v>
      </c>
      <c r="G549" s="2">
        <v>0</v>
      </c>
      <c r="H549" s="2">
        <v>0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2">
        <v>0</v>
      </c>
      <c r="O549" s="8">
        <v>0</v>
      </c>
      <c r="P549" s="8">
        <v>0</v>
      </c>
      <c r="Q549" s="2">
        <v>0</v>
      </c>
      <c r="R549" s="2">
        <v>0</v>
      </c>
      <c r="S549" s="2">
        <v>0</v>
      </c>
      <c r="T549" s="2">
        <v>0</v>
      </c>
      <c r="U549" s="2">
        <v>0</v>
      </c>
      <c r="V549" s="2">
        <v>0</v>
      </c>
      <c r="W549" s="2">
        <v>0</v>
      </c>
      <c r="X549" s="2">
        <v>0</v>
      </c>
      <c r="Y549" s="2">
        <v>0</v>
      </c>
      <c r="Z549" s="8">
        <v>163033.28</v>
      </c>
      <c r="AA549" s="2">
        <v>0</v>
      </c>
    </row>
    <row r="550" spans="1:27" s="75" customFormat="1" ht="30" customHeight="1">
      <c r="A550" s="76">
        <v>155</v>
      </c>
      <c r="B550" s="121" t="s">
        <v>267</v>
      </c>
      <c r="C550" s="8">
        <f t="shared" si="182"/>
        <v>2193008.33</v>
      </c>
      <c r="D550" s="1">
        <f t="shared" si="183"/>
        <v>2033719.55</v>
      </c>
      <c r="E550" s="1">
        <v>2033719.55</v>
      </c>
      <c r="F550" s="2">
        <v>0</v>
      </c>
      <c r="G550" s="2">
        <v>0</v>
      </c>
      <c r="H550" s="2">
        <v>0</v>
      </c>
      <c r="I550" s="2">
        <v>0</v>
      </c>
      <c r="J550" s="2">
        <v>0</v>
      </c>
      <c r="K550" s="2">
        <v>0</v>
      </c>
      <c r="L550" s="2">
        <v>0</v>
      </c>
      <c r="M550" s="2">
        <v>0</v>
      </c>
      <c r="N550" s="2">
        <v>0</v>
      </c>
      <c r="O550" s="8">
        <v>0</v>
      </c>
      <c r="P550" s="8">
        <v>0</v>
      </c>
      <c r="Q550" s="2">
        <v>0</v>
      </c>
      <c r="R550" s="2">
        <v>0</v>
      </c>
      <c r="S550" s="2">
        <v>0</v>
      </c>
      <c r="T550" s="2">
        <v>0</v>
      </c>
      <c r="U550" s="2">
        <v>0</v>
      </c>
      <c r="V550" s="2">
        <v>0</v>
      </c>
      <c r="W550" s="2">
        <v>0</v>
      </c>
      <c r="X550" s="2">
        <v>0</v>
      </c>
      <c r="Y550" s="2">
        <v>0</v>
      </c>
      <c r="Z550" s="8">
        <v>159288.78</v>
      </c>
      <c r="AA550" s="2">
        <v>0</v>
      </c>
    </row>
    <row r="551" spans="1:27" s="75" customFormat="1" ht="36.75" customHeight="1">
      <c r="A551" s="76">
        <v>156</v>
      </c>
      <c r="B551" s="121" t="s">
        <v>268</v>
      </c>
      <c r="C551" s="8">
        <v>2284818.39</v>
      </c>
      <c r="D551" s="1">
        <f t="shared" si="183"/>
        <v>2118861</v>
      </c>
      <c r="E551" s="1">
        <v>2118861</v>
      </c>
      <c r="F551" s="2">
        <v>0</v>
      </c>
      <c r="G551" s="2">
        <v>0</v>
      </c>
      <c r="H551" s="2">
        <v>0</v>
      </c>
      <c r="I551" s="2">
        <v>0</v>
      </c>
      <c r="J551" s="2">
        <v>0</v>
      </c>
      <c r="K551" s="2">
        <v>0</v>
      </c>
      <c r="L551" s="2"/>
      <c r="M551" s="2">
        <v>0</v>
      </c>
      <c r="N551" s="2">
        <v>0</v>
      </c>
      <c r="O551" s="8">
        <v>0</v>
      </c>
      <c r="P551" s="8">
        <v>0</v>
      </c>
      <c r="Q551" s="2">
        <v>0</v>
      </c>
      <c r="R551" s="2">
        <v>0</v>
      </c>
      <c r="S551" s="2">
        <v>0</v>
      </c>
      <c r="T551" s="2">
        <v>0</v>
      </c>
      <c r="U551" s="2">
        <v>0</v>
      </c>
      <c r="V551" s="2">
        <v>0</v>
      </c>
      <c r="W551" s="2">
        <v>0</v>
      </c>
      <c r="X551" s="2">
        <v>0</v>
      </c>
      <c r="Y551" s="2">
        <v>0</v>
      </c>
      <c r="Z551" s="8">
        <v>165957.4</v>
      </c>
      <c r="AA551" s="2">
        <v>0</v>
      </c>
    </row>
    <row r="552" spans="1:27" s="75" customFormat="1" ht="34.5" customHeight="1">
      <c r="A552" s="158" t="s">
        <v>222</v>
      </c>
      <c r="B552" s="160"/>
      <c r="C552" s="8">
        <f t="shared" ref="C552:AA552" si="185">SUM(C553:C556)</f>
        <v>8430904.8399999999</v>
      </c>
      <c r="D552" s="8">
        <f t="shared" si="185"/>
        <v>0</v>
      </c>
      <c r="E552" s="8">
        <f t="shared" si="185"/>
        <v>0</v>
      </c>
      <c r="F552" s="8">
        <f t="shared" si="185"/>
        <v>0</v>
      </c>
      <c r="G552" s="8">
        <f t="shared" si="185"/>
        <v>0</v>
      </c>
      <c r="H552" s="8">
        <f t="shared" si="185"/>
        <v>0</v>
      </c>
      <c r="I552" s="8">
        <f t="shared" si="185"/>
        <v>0</v>
      </c>
      <c r="J552" s="8">
        <f t="shared" si="185"/>
        <v>0</v>
      </c>
      <c r="K552" s="8">
        <f t="shared" si="185"/>
        <v>0</v>
      </c>
      <c r="L552" s="8">
        <f t="shared" si="185"/>
        <v>0</v>
      </c>
      <c r="M552" s="8">
        <f t="shared" si="185"/>
        <v>0</v>
      </c>
      <c r="N552" s="8">
        <f t="shared" si="185"/>
        <v>0</v>
      </c>
      <c r="O552" s="8">
        <f t="shared" si="185"/>
        <v>1150</v>
      </c>
      <c r="P552" s="8">
        <f t="shared" si="185"/>
        <v>5210774.24</v>
      </c>
      <c r="Q552" s="8">
        <f t="shared" si="185"/>
        <v>0</v>
      </c>
      <c r="R552" s="8">
        <f t="shared" si="185"/>
        <v>0</v>
      </c>
      <c r="S552" s="8">
        <f t="shared" si="185"/>
        <v>847.2</v>
      </c>
      <c r="T552" s="8">
        <f t="shared" si="185"/>
        <v>2778090.66</v>
      </c>
      <c r="U552" s="8">
        <f t="shared" si="185"/>
        <v>0</v>
      </c>
      <c r="V552" s="8">
        <f t="shared" si="185"/>
        <v>0</v>
      </c>
      <c r="W552" s="8">
        <f t="shared" si="185"/>
        <v>0</v>
      </c>
      <c r="X552" s="8">
        <f t="shared" si="185"/>
        <v>0</v>
      </c>
      <c r="Y552" s="8">
        <f t="shared" si="185"/>
        <v>0</v>
      </c>
      <c r="Z552" s="8">
        <f t="shared" si="185"/>
        <v>442039.93999999994</v>
      </c>
      <c r="AA552" s="8">
        <f t="shared" si="185"/>
        <v>0</v>
      </c>
    </row>
    <row r="553" spans="1:27" s="75" customFormat="1" ht="34.5" customHeight="1">
      <c r="A553" s="76">
        <v>157</v>
      </c>
      <c r="B553" s="121" t="s">
        <v>884</v>
      </c>
      <c r="C553" s="1">
        <f t="shared" ref="C553:C555" si="186">D553+L553+N553+P553+R553+T553+V553+X553+Y553+Z553+AA553</f>
        <v>2306854.69</v>
      </c>
      <c r="D553" s="1">
        <f t="shared" ref="D553:D555" si="187">E553+F553+G553+H553+I553+J553</f>
        <v>0</v>
      </c>
      <c r="E553" s="2">
        <v>0</v>
      </c>
      <c r="F553" s="2">
        <v>0</v>
      </c>
      <c r="G553" s="2">
        <v>0</v>
      </c>
      <c r="H553" s="2">
        <v>0</v>
      </c>
      <c r="I553" s="2">
        <v>0</v>
      </c>
      <c r="J553" s="2">
        <v>0</v>
      </c>
      <c r="K553" s="2">
        <v>0</v>
      </c>
      <c r="L553" s="2">
        <v>0</v>
      </c>
      <c r="M553" s="2">
        <v>0</v>
      </c>
      <c r="N553" s="2">
        <v>0</v>
      </c>
      <c r="O553" s="1">
        <v>350</v>
      </c>
      <c r="P553" s="1">
        <v>2245394.69</v>
      </c>
      <c r="Q553" s="2">
        <v>0</v>
      </c>
      <c r="R553" s="2">
        <v>0</v>
      </c>
      <c r="S553" s="2">
        <v>0</v>
      </c>
      <c r="T553" s="2">
        <v>0</v>
      </c>
      <c r="U553" s="2">
        <v>0</v>
      </c>
      <c r="V553" s="2">
        <v>0</v>
      </c>
      <c r="W553" s="2">
        <v>0</v>
      </c>
      <c r="X553" s="2">
        <v>0</v>
      </c>
      <c r="Y553" s="2">
        <v>0</v>
      </c>
      <c r="Z553" s="1">
        <v>61460</v>
      </c>
      <c r="AA553" s="2">
        <v>0</v>
      </c>
    </row>
    <row r="554" spans="1:27" s="75" customFormat="1" ht="34.5" customHeight="1">
      <c r="A554" s="76">
        <v>158</v>
      </c>
      <c r="B554" s="121" t="s">
        <v>770</v>
      </c>
      <c r="C554" s="1">
        <f t="shared" si="186"/>
        <v>2027083.52</v>
      </c>
      <c r="D554" s="1">
        <f t="shared" si="187"/>
        <v>0</v>
      </c>
      <c r="E554" s="2">
        <v>0</v>
      </c>
      <c r="F554" s="2">
        <v>0</v>
      </c>
      <c r="G554" s="2">
        <v>0</v>
      </c>
      <c r="H554" s="2">
        <v>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2">
        <v>0</v>
      </c>
      <c r="O554" s="2">
        <v>0</v>
      </c>
      <c r="P554" s="2">
        <v>0</v>
      </c>
      <c r="Q554" s="2">
        <v>0</v>
      </c>
      <c r="R554" s="2">
        <v>0</v>
      </c>
      <c r="S554" s="1">
        <v>435.2</v>
      </c>
      <c r="T554" s="1">
        <v>1879846.66</v>
      </c>
      <c r="U554" s="2">
        <v>0</v>
      </c>
      <c r="V554" s="2">
        <v>0</v>
      </c>
      <c r="W554" s="2">
        <v>0</v>
      </c>
      <c r="X554" s="2">
        <v>0</v>
      </c>
      <c r="Y554" s="2">
        <v>0</v>
      </c>
      <c r="Z554" s="1">
        <v>147236.85999999999</v>
      </c>
      <c r="AA554" s="2">
        <v>0</v>
      </c>
    </row>
    <row r="555" spans="1:27" s="75" customFormat="1" ht="39" customHeight="1">
      <c r="A555" s="76">
        <v>159</v>
      </c>
      <c r="B555" s="121" t="s">
        <v>223</v>
      </c>
      <c r="C555" s="1">
        <f t="shared" si="186"/>
        <v>1679437.55</v>
      </c>
      <c r="D555" s="1">
        <f t="shared" si="187"/>
        <v>0</v>
      </c>
      <c r="E555" s="2">
        <v>0</v>
      </c>
      <c r="F555" s="2">
        <v>0</v>
      </c>
      <c r="G555" s="2">
        <v>0</v>
      </c>
      <c r="H555" s="2">
        <v>0</v>
      </c>
      <c r="I555" s="2">
        <v>0</v>
      </c>
      <c r="J555" s="2">
        <v>0</v>
      </c>
      <c r="K555" s="2">
        <v>0</v>
      </c>
      <c r="L555" s="2">
        <v>0</v>
      </c>
      <c r="M555" s="2">
        <v>0</v>
      </c>
      <c r="N555" s="2">
        <v>0</v>
      </c>
      <c r="O555" s="1">
        <v>400</v>
      </c>
      <c r="P555" s="1">
        <v>1581535.76</v>
      </c>
      <c r="Q555" s="2">
        <v>0</v>
      </c>
      <c r="R555" s="2">
        <v>0</v>
      </c>
      <c r="S555" s="2">
        <v>0</v>
      </c>
      <c r="T555" s="2">
        <v>0</v>
      </c>
      <c r="U555" s="2">
        <v>0</v>
      </c>
      <c r="V555" s="2">
        <v>0</v>
      </c>
      <c r="W555" s="2">
        <v>0</v>
      </c>
      <c r="X555" s="2">
        <v>0</v>
      </c>
      <c r="Y555" s="2">
        <v>0</v>
      </c>
      <c r="Z555" s="1">
        <v>97901.79</v>
      </c>
      <c r="AA555" s="2">
        <v>0</v>
      </c>
    </row>
    <row r="556" spans="1:27" s="75" customFormat="1" ht="40.5" customHeight="1">
      <c r="A556" s="76">
        <v>160</v>
      </c>
      <c r="B556" s="121" t="s">
        <v>224</v>
      </c>
      <c r="C556" s="1">
        <v>2417529.08</v>
      </c>
      <c r="D556" s="1">
        <v>0</v>
      </c>
      <c r="E556" s="1">
        <v>0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400</v>
      </c>
      <c r="P556" s="1">
        <v>1383843.79</v>
      </c>
      <c r="Q556" s="1">
        <v>0</v>
      </c>
      <c r="R556" s="1">
        <v>0</v>
      </c>
      <c r="S556" s="1">
        <v>412</v>
      </c>
      <c r="T556" s="1">
        <v>898244</v>
      </c>
      <c r="U556" s="1">
        <v>0</v>
      </c>
      <c r="V556" s="1">
        <v>0</v>
      </c>
      <c r="W556" s="1">
        <v>0</v>
      </c>
      <c r="X556" s="1">
        <v>0</v>
      </c>
      <c r="Y556" s="1">
        <v>0</v>
      </c>
      <c r="Z556" s="1">
        <v>135441.29</v>
      </c>
      <c r="AA556" s="1">
        <v>0</v>
      </c>
    </row>
    <row r="557" spans="1:27" s="75" customFormat="1" ht="35.25" customHeight="1">
      <c r="A557" s="158" t="s">
        <v>130</v>
      </c>
      <c r="B557" s="160"/>
      <c r="C557" s="1">
        <f>SUM(C558:C562)</f>
        <v>19476169</v>
      </c>
      <c r="D557" s="1">
        <f t="shared" ref="D557:AA557" si="188">SUM(D558:D562)</f>
        <v>5332601.07</v>
      </c>
      <c r="E557" s="1">
        <f t="shared" si="188"/>
        <v>1422503.78</v>
      </c>
      <c r="F557" s="1">
        <f t="shared" si="188"/>
        <v>2737748.4699999997</v>
      </c>
      <c r="G557" s="1">
        <f t="shared" si="188"/>
        <v>0</v>
      </c>
      <c r="H557" s="1">
        <f t="shared" si="188"/>
        <v>0</v>
      </c>
      <c r="I557" s="1">
        <f t="shared" si="188"/>
        <v>0</v>
      </c>
      <c r="J557" s="1">
        <f t="shared" si="188"/>
        <v>1172348.8199999998</v>
      </c>
      <c r="K557" s="1">
        <f t="shared" si="188"/>
        <v>0</v>
      </c>
      <c r="L557" s="1">
        <f t="shared" si="188"/>
        <v>0</v>
      </c>
      <c r="M557" s="1">
        <f t="shared" si="188"/>
        <v>0</v>
      </c>
      <c r="N557" s="1">
        <f t="shared" si="188"/>
        <v>0</v>
      </c>
      <c r="O557" s="1">
        <f t="shared" si="188"/>
        <v>1376</v>
      </c>
      <c r="P557" s="1">
        <f t="shared" si="188"/>
        <v>12799400.359999999</v>
      </c>
      <c r="Q557" s="1">
        <f t="shared" si="188"/>
        <v>0</v>
      </c>
      <c r="R557" s="1">
        <f t="shared" si="188"/>
        <v>0</v>
      </c>
      <c r="S557" s="1">
        <f t="shared" si="188"/>
        <v>0</v>
      </c>
      <c r="T557" s="1">
        <f t="shared" si="188"/>
        <v>0</v>
      </c>
      <c r="U557" s="1">
        <f t="shared" si="188"/>
        <v>0</v>
      </c>
      <c r="V557" s="1">
        <f t="shared" si="188"/>
        <v>0</v>
      </c>
      <c r="W557" s="1">
        <f t="shared" si="188"/>
        <v>0</v>
      </c>
      <c r="X557" s="1">
        <f t="shared" si="188"/>
        <v>0</v>
      </c>
      <c r="Y557" s="1">
        <f t="shared" si="188"/>
        <v>0</v>
      </c>
      <c r="Z557" s="1">
        <f t="shared" si="188"/>
        <v>1344167.5700000003</v>
      </c>
      <c r="AA557" s="1">
        <f t="shared" si="188"/>
        <v>0</v>
      </c>
    </row>
    <row r="558" spans="1:27" s="75" customFormat="1" ht="40.5" customHeight="1">
      <c r="A558" s="120">
        <v>161</v>
      </c>
      <c r="B558" s="67" t="s">
        <v>133</v>
      </c>
      <c r="C558" s="37">
        <f>D558+Z558</f>
        <v>873523.9</v>
      </c>
      <c r="D558" s="37">
        <f>E558+F558+G558+H558+J558</f>
        <v>834483.8</v>
      </c>
      <c r="E558" s="37">
        <v>834483.8</v>
      </c>
      <c r="F558" s="37">
        <v>0</v>
      </c>
      <c r="G558" s="37">
        <v>0</v>
      </c>
      <c r="H558" s="37">
        <v>0</v>
      </c>
      <c r="I558" s="37">
        <v>0</v>
      </c>
      <c r="J558" s="37">
        <v>0</v>
      </c>
      <c r="K558" s="37">
        <v>0</v>
      </c>
      <c r="L558" s="37">
        <v>0</v>
      </c>
      <c r="M558" s="37">
        <v>0</v>
      </c>
      <c r="N558" s="37">
        <v>0</v>
      </c>
      <c r="O558" s="37">
        <v>0</v>
      </c>
      <c r="P558" s="37">
        <v>0</v>
      </c>
      <c r="Q558" s="37">
        <v>0</v>
      </c>
      <c r="R558" s="37">
        <v>0</v>
      </c>
      <c r="S558" s="37">
        <v>0</v>
      </c>
      <c r="T558" s="37">
        <v>0</v>
      </c>
      <c r="U558" s="37">
        <v>0</v>
      </c>
      <c r="V558" s="37">
        <v>0</v>
      </c>
      <c r="W558" s="37">
        <v>0</v>
      </c>
      <c r="X558" s="37">
        <v>0</v>
      </c>
      <c r="Y558" s="37">
        <v>0</v>
      </c>
      <c r="Z558" s="106">
        <v>39040.1</v>
      </c>
      <c r="AA558" s="37">
        <v>0</v>
      </c>
    </row>
    <row r="559" spans="1:27" s="75" customFormat="1" ht="36.75" customHeight="1">
      <c r="A559" s="120">
        <v>162</v>
      </c>
      <c r="B559" s="67" t="s">
        <v>134</v>
      </c>
      <c r="C559" s="37">
        <f>D559+Z559</f>
        <v>634075.98</v>
      </c>
      <c r="D559" s="37">
        <f>E559+F559+G559+H559+I559+J559</f>
        <v>588019.98</v>
      </c>
      <c r="E559" s="37">
        <v>588019.98</v>
      </c>
      <c r="F559" s="37">
        <v>0</v>
      </c>
      <c r="G559" s="37">
        <v>0</v>
      </c>
      <c r="H559" s="37">
        <v>0</v>
      </c>
      <c r="I559" s="37">
        <v>0</v>
      </c>
      <c r="J559" s="37">
        <v>0</v>
      </c>
      <c r="K559" s="37">
        <v>0</v>
      </c>
      <c r="L559" s="37">
        <v>0</v>
      </c>
      <c r="M559" s="37">
        <v>0</v>
      </c>
      <c r="N559" s="37">
        <v>0</v>
      </c>
      <c r="O559" s="37">
        <v>0</v>
      </c>
      <c r="P559" s="37">
        <v>0</v>
      </c>
      <c r="Q559" s="37">
        <v>0</v>
      </c>
      <c r="R559" s="37">
        <v>0</v>
      </c>
      <c r="S559" s="37">
        <v>0</v>
      </c>
      <c r="T559" s="37">
        <v>0</v>
      </c>
      <c r="U559" s="37">
        <v>0</v>
      </c>
      <c r="V559" s="37">
        <v>0</v>
      </c>
      <c r="W559" s="37">
        <v>0</v>
      </c>
      <c r="X559" s="37">
        <v>0</v>
      </c>
      <c r="Y559" s="37">
        <v>0</v>
      </c>
      <c r="Z559" s="37">
        <v>46056</v>
      </c>
      <c r="AA559" s="37">
        <v>0</v>
      </c>
    </row>
    <row r="560" spans="1:27" s="75" customFormat="1" ht="34.5" customHeight="1">
      <c r="A560" s="120">
        <v>163</v>
      </c>
      <c r="B560" s="103" t="s">
        <v>137</v>
      </c>
      <c r="C560" s="37">
        <f t="shared" ref="C560:C562" si="189">D560+P560+Z560</f>
        <v>13801898.92</v>
      </c>
      <c r="D560" s="37">
        <f>E560+F560+G560+H560+I560+J560</f>
        <v>0</v>
      </c>
      <c r="E560" s="37">
        <v>0</v>
      </c>
      <c r="F560" s="37">
        <v>0</v>
      </c>
      <c r="G560" s="37">
        <v>0</v>
      </c>
      <c r="H560" s="37">
        <v>0</v>
      </c>
      <c r="I560" s="37">
        <v>0</v>
      </c>
      <c r="J560" s="37">
        <v>0</v>
      </c>
      <c r="K560" s="37">
        <v>0</v>
      </c>
      <c r="L560" s="37">
        <v>0</v>
      </c>
      <c r="M560" s="37">
        <v>0</v>
      </c>
      <c r="N560" s="37">
        <v>0</v>
      </c>
      <c r="O560" s="37">
        <v>1376</v>
      </c>
      <c r="P560" s="37">
        <v>12799400.359999999</v>
      </c>
      <c r="Q560" s="37">
        <v>0</v>
      </c>
      <c r="R560" s="37">
        <v>0</v>
      </c>
      <c r="S560" s="37">
        <v>0</v>
      </c>
      <c r="T560" s="37">
        <v>0</v>
      </c>
      <c r="U560" s="37">
        <v>0</v>
      </c>
      <c r="V560" s="37">
        <v>0</v>
      </c>
      <c r="W560" s="37">
        <v>0</v>
      </c>
      <c r="X560" s="37">
        <v>0</v>
      </c>
      <c r="Y560" s="37">
        <v>0</v>
      </c>
      <c r="Z560" s="37">
        <v>1002498.5600000001</v>
      </c>
      <c r="AA560" s="37">
        <v>0</v>
      </c>
    </row>
    <row r="561" spans="1:27" s="75" customFormat="1" ht="34.5" customHeight="1">
      <c r="A561" s="120">
        <v>164</v>
      </c>
      <c r="B561" s="67" t="s">
        <v>136</v>
      </c>
      <c r="C561" s="37">
        <f t="shared" si="189"/>
        <v>1451416.99</v>
      </c>
      <c r="D561" s="37">
        <f>SUM(E561:J561)</f>
        <v>1347384.47</v>
      </c>
      <c r="E561" s="37">
        <v>0</v>
      </c>
      <c r="F561" s="37">
        <v>891407</v>
      </c>
      <c r="G561" s="37">
        <v>0</v>
      </c>
      <c r="H561" s="37">
        <v>0</v>
      </c>
      <c r="I561" s="37">
        <v>0</v>
      </c>
      <c r="J561" s="37">
        <v>455977.47</v>
      </c>
      <c r="K561" s="37">
        <v>0</v>
      </c>
      <c r="L561" s="37">
        <v>0</v>
      </c>
      <c r="M561" s="37">
        <v>0</v>
      </c>
      <c r="N561" s="37">
        <v>0</v>
      </c>
      <c r="O561" s="37">
        <v>0</v>
      </c>
      <c r="P561" s="37">
        <v>0</v>
      </c>
      <c r="Q561" s="37">
        <v>0</v>
      </c>
      <c r="R561" s="37">
        <v>0</v>
      </c>
      <c r="S561" s="37">
        <v>0</v>
      </c>
      <c r="T561" s="37">
        <v>0</v>
      </c>
      <c r="U561" s="37">
        <v>0</v>
      </c>
      <c r="V561" s="37">
        <v>0</v>
      </c>
      <c r="W561" s="37">
        <v>0</v>
      </c>
      <c r="X561" s="37">
        <v>0</v>
      </c>
      <c r="Y561" s="37">
        <v>0</v>
      </c>
      <c r="Z561" s="106">
        <v>104032.52</v>
      </c>
      <c r="AA561" s="37">
        <v>0</v>
      </c>
    </row>
    <row r="562" spans="1:27" s="75" customFormat="1" ht="32.25" customHeight="1">
      <c r="A562" s="120">
        <v>165</v>
      </c>
      <c r="B562" s="67" t="s">
        <v>771</v>
      </c>
      <c r="C562" s="37">
        <f t="shared" si="189"/>
        <v>2715253.21</v>
      </c>
      <c r="D562" s="37">
        <f>SUM(E562:J562)</f>
        <v>2562712.8199999998</v>
      </c>
      <c r="E562" s="37">
        <v>0</v>
      </c>
      <c r="F562" s="37">
        <v>1846341.47</v>
      </c>
      <c r="G562" s="37">
        <v>0</v>
      </c>
      <c r="H562" s="37">
        <v>0</v>
      </c>
      <c r="I562" s="37">
        <v>0</v>
      </c>
      <c r="J562" s="37">
        <v>716371.35</v>
      </c>
      <c r="K562" s="37">
        <v>0</v>
      </c>
      <c r="L562" s="37">
        <v>0</v>
      </c>
      <c r="M562" s="37">
        <v>0</v>
      </c>
      <c r="N562" s="37">
        <v>0</v>
      </c>
      <c r="O562" s="37">
        <v>0</v>
      </c>
      <c r="P562" s="37">
        <v>0</v>
      </c>
      <c r="Q562" s="37">
        <v>0</v>
      </c>
      <c r="R562" s="37">
        <v>0</v>
      </c>
      <c r="S562" s="37">
        <v>0</v>
      </c>
      <c r="T562" s="37">
        <v>0</v>
      </c>
      <c r="U562" s="37">
        <v>0</v>
      </c>
      <c r="V562" s="37">
        <v>0</v>
      </c>
      <c r="W562" s="37">
        <v>0</v>
      </c>
      <c r="X562" s="37">
        <v>0</v>
      </c>
      <c r="Y562" s="37">
        <v>0</v>
      </c>
      <c r="Z562" s="106">
        <v>152540.39000000001</v>
      </c>
      <c r="AA562" s="37">
        <v>0</v>
      </c>
    </row>
    <row r="563" spans="1:27" s="75" customFormat="1" ht="45" customHeight="1">
      <c r="A563" s="158" t="s">
        <v>226</v>
      </c>
      <c r="B563" s="160"/>
      <c r="C563" s="1">
        <f t="shared" ref="C563:AA563" si="190">SUM(C564:C578)</f>
        <v>24258520.459999997</v>
      </c>
      <c r="D563" s="1">
        <f t="shared" si="190"/>
        <v>7599030.7199999997</v>
      </c>
      <c r="E563" s="1">
        <f t="shared" si="190"/>
        <v>6872900.5000000009</v>
      </c>
      <c r="F563" s="1">
        <f t="shared" si="190"/>
        <v>0</v>
      </c>
      <c r="G563" s="1">
        <f t="shared" si="190"/>
        <v>0</v>
      </c>
      <c r="H563" s="1">
        <f t="shared" si="190"/>
        <v>0</v>
      </c>
      <c r="I563" s="1">
        <f t="shared" si="190"/>
        <v>0</v>
      </c>
      <c r="J563" s="1">
        <f t="shared" si="190"/>
        <v>726130.22</v>
      </c>
      <c r="K563" s="1">
        <f t="shared" si="190"/>
        <v>0</v>
      </c>
      <c r="L563" s="1">
        <f t="shared" si="190"/>
        <v>0</v>
      </c>
      <c r="M563" s="1">
        <f t="shared" si="190"/>
        <v>0</v>
      </c>
      <c r="N563" s="1">
        <f t="shared" si="190"/>
        <v>0</v>
      </c>
      <c r="O563" s="1">
        <f t="shared" si="190"/>
        <v>250.8</v>
      </c>
      <c r="P563" s="1">
        <f t="shared" si="190"/>
        <v>2582462.9</v>
      </c>
      <c r="Q563" s="1">
        <f t="shared" si="190"/>
        <v>0</v>
      </c>
      <c r="R563" s="1">
        <f t="shared" si="190"/>
        <v>0</v>
      </c>
      <c r="S563" s="1">
        <f t="shared" si="190"/>
        <v>266.8</v>
      </c>
      <c r="T563" s="1">
        <f t="shared" si="190"/>
        <v>13381851.26</v>
      </c>
      <c r="U563" s="1">
        <f t="shared" si="190"/>
        <v>0</v>
      </c>
      <c r="V563" s="1">
        <f t="shared" si="190"/>
        <v>0</v>
      </c>
      <c r="W563" s="1">
        <f t="shared" si="190"/>
        <v>0</v>
      </c>
      <c r="X563" s="1">
        <f t="shared" si="190"/>
        <v>0</v>
      </c>
      <c r="Y563" s="1">
        <f t="shared" si="190"/>
        <v>0</v>
      </c>
      <c r="Z563" s="1">
        <f t="shared" si="190"/>
        <v>695175.58</v>
      </c>
      <c r="AA563" s="1">
        <f t="shared" si="190"/>
        <v>0</v>
      </c>
    </row>
    <row r="564" spans="1:27" ht="42" customHeight="1">
      <c r="A564" s="120">
        <v>166</v>
      </c>
      <c r="B564" s="136" t="s">
        <v>772</v>
      </c>
      <c r="C564" s="1">
        <f>D564+L564+N564+P564+R564+T564+V564+X564+Y564+Z564+AA564</f>
        <v>851877.83</v>
      </c>
      <c r="D564" s="1">
        <f>E564+F564+G564+H564+I564+J564</f>
        <v>790001.83</v>
      </c>
      <c r="E564" s="1">
        <v>790001.83</v>
      </c>
      <c r="F564" s="37">
        <v>0</v>
      </c>
      <c r="G564" s="37">
        <v>0</v>
      </c>
      <c r="H564" s="37">
        <v>0</v>
      </c>
      <c r="I564" s="37">
        <v>0</v>
      </c>
      <c r="J564" s="37">
        <v>0</v>
      </c>
      <c r="K564" s="37">
        <v>0</v>
      </c>
      <c r="L564" s="37">
        <v>0</v>
      </c>
      <c r="M564" s="37">
        <v>0</v>
      </c>
      <c r="N564" s="37">
        <v>0</v>
      </c>
      <c r="O564" s="37">
        <v>0</v>
      </c>
      <c r="P564" s="37">
        <v>0</v>
      </c>
      <c r="Q564" s="37">
        <v>0</v>
      </c>
      <c r="R564" s="37">
        <v>0</v>
      </c>
      <c r="S564" s="37">
        <v>0</v>
      </c>
      <c r="T564" s="37">
        <v>0</v>
      </c>
      <c r="U564" s="37">
        <v>0</v>
      </c>
      <c r="V564" s="37">
        <v>0</v>
      </c>
      <c r="W564" s="37">
        <v>0</v>
      </c>
      <c r="X564" s="37">
        <v>0</v>
      </c>
      <c r="Y564" s="37">
        <v>0</v>
      </c>
      <c r="Z564" s="8">
        <v>61876</v>
      </c>
      <c r="AA564" s="37">
        <v>0</v>
      </c>
    </row>
    <row r="565" spans="1:27" ht="39.75" customHeight="1">
      <c r="A565" s="120">
        <v>167</v>
      </c>
      <c r="B565" s="136" t="s">
        <v>773</v>
      </c>
      <c r="C565" s="1">
        <f t="shared" ref="C565:C578" si="191">D565+L565+N565+P565+R565+T565+V565+X565+Y565+Z565+AA565</f>
        <v>464850.5</v>
      </c>
      <c r="D565" s="1">
        <f t="shared" ref="D565:D578" si="192">E565+F565+G565+H565+I565+J565</f>
        <v>431086.16</v>
      </c>
      <c r="E565" s="1">
        <v>431086.16</v>
      </c>
      <c r="F565" s="37">
        <v>0</v>
      </c>
      <c r="G565" s="37">
        <v>0</v>
      </c>
      <c r="H565" s="37">
        <v>0</v>
      </c>
      <c r="I565" s="37">
        <v>0</v>
      </c>
      <c r="J565" s="37">
        <v>0</v>
      </c>
      <c r="K565" s="37">
        <v>0</v>
      </c>
      <c r="L565" s="37">
        <v>0</v>
      </c>
      <c r="M565" s="37">
        <v>0</v>
      </c>
      <c r="N565" s="37">
        <v>0</v>
      </c>
      <c r="O565" s="37">
        <v>0</v>
      </c>
      <c r="P565" s="37">
        <v>0</v>
      </c>
      <c r="Q565" s="37">
        <v>0</v>
      </c>
      <c r="R565" s="37">
        <v>0</v>
      </c>
      <c r="S565" s="37">
        <v>0</v>
      </c>
      <c r="T565" s="37">
        <v>0</v>
      </c>
      <c r="U565" s="37">
        <v>0</v>
      </c>
      <c r="V565" s="37">
        <v>0</v>
      </c>
      <c r="W565" s="37">
        <v>0</v>
      </c>
      <c r="X565" s="37">
        <v>0</v>
      </c>
      <c r="Y565" s="37">
        <v>0</v>
      </c>
      <c r="Z565" s="8">
        <v>33764.339999999997</v>
      </c>
      <c r="AA565" s="37">
        <v>0</v>
      </c>
    </row>
    <row r="566" spans="1:27" ht="46.5" customHeight="1">
      <c r="A566" s="120">
        <v>168</v>
      </c>
      <c r="B566" s="136" t="s">
        <v>774</v>
      </c>
      <c r="C566" s="1">
        <f t="shared" si="191"/>
        <v>1469580.17</v>
      </c>
      <c r="D566" s="1">
        <f t="shared" si="192"/>
        <v>1362837.47</v>
      </c>
      <c r="E566" s="1">
        <v>1362837.47</v>
      </c>
      <c r="F566" s="37">
        <v>0</v>
      </c>
      <c r="G566" s="37">
        <v>0</v>
      </c>
      <c r="H566" s="37">
        <v>0</v>
      </c>
      <c r="I566" s="37">
        <v>0</v>
      </c>
      <c r="J566" s="37">
        <v>0</v>
      </c>
      <c r="K566" s="37">
        <v>0</v>
      </c>
      <c r="L566" s="37">
        <v>0</v>
      </c>
      <c r="M566" s="37">
        <v>0</v>
      </c>
      <c r="N566" s="37">
        <v>0</v>
      </c>
      <c r="O566" s="37">
        <v>0</v>
      </c>
      <c r="P566" s="37">
        <v>0</v>
      </c>
      <c r="Q566" s="37">
        <v>0</v>
      </c>
      <c r="R566" s="37">
        <v>0</v>
      </c>
      <c r="S566" s="37">
        <v>0</v>
      </c>
      <c r="T566" s="37">
        <v>0</v>
      </c>
      <c r="U566" s="37">
        <v>0</v>
      </c>
      <c r="V566" s="37">
        <v>0</v>
      </c>
      <c r="W566" s="37">
        <v>0</v>
      </c>
      <c r="X566" s="37">
        <v>0</v>
      </c>
      <c r="Y566" s="37">
        <v>0</v>
      </c>
      <c r="Z566" s="8">
        <v>106742.7</v>
      </c>
      <c r="AA566" s="37">
        <v>0</v>
      </c>
    </row>
    <row r="567" spans="1:27" ht="36" customHeight="1">
      <c r="A567" s="230">
        <v>169</v>
      </c>
      <c r="B567" s="223" t="s">
        <v>775</v>
      </c>
      <c r="C567" s="224">
        <f t="shared" si="191"/>
        <v>783003.54999999993</v>
      </c>
      <c r="D567" s="1">
        <f t="shared" si="192"/>
        <v>726130.22</v>
      </c>
      <c r="E567" s="1">
        <v>0</v>
      </c>
      <c r="F567" s="37">
        <v>0</v>
      </c>
      <c r="G567" s="37">
        <v>0</v>
      </c>
      <c r="H567" s="37">
        <v>0</v>
      </c>
      <c r="I567" s="37">
        <v>0</v>
      </c>
      <c r="J567" s="1">
        <v>726130.22</v>
      </c>
      <c r="K567" s="37">
        <v>0</v>
      </c>
      <c r="L567" s="37">
        <v>0</v>
      </c>
      <c r="M567" s="37">
        <v>0</v>
      </c>
      <c r="N567" s="37">
        <v>0</v>
      </c>
      <c r="O567" s="37">
        <v>0</v>
      </c>
      <c r="P567" s="37">
        <v>0</v>
      </c>
      <c r="Q567" s="37">
        <v>0</v>
      </c>
      <c r="R567" s="37">
        <v>0</v>
      </c>
      <c r="S567" s="37">
        <v>0</v>
      </c>
      <c r="T567" s="37">
        <v>0</v>
      </c>
      <c r="U567" s="37">
        <v>0</v>
      </c>
      <c r="V567" s="37">
        <v>0</v>
      </c>
      <c r="W567" s="37">
        <v>0</v>
      </c>
      <c r="X567" s="37">
        <v>0</v>
      </c>
      <c r="Y567" s="37">
        <v>0</v>
      </c>
      <c r="Z567" s="8">
        <v>56873.33</v>
      </c>
      <c r="AA567" s="37">
        <v>0</v>
      </c>
    </row>
    <row r="568" spans="1:27" ht="36" customHeight="1">
      <c r="A568" s="120">
        <v>170</v>
      </c>
      <c r="B568" s="136" t="s">
        <v>776</v>
      </c>
      <c r="C568" s="1">
        <f t="shared" si="191"/>
        <v>378691.30000000005</v>
      </c>
      <c r="D568" s="1">
        <f t="shared" si="192"/>
        <v>363910.52</v>
      </c>
      <c r="E568" s="1">
        <v>363910.52</v>
      </c>
      <c r="F568" s="37">
        <v>0</v>
      </c>
      <c r="G568" s="37">
        <v>0</v>
      </c>
      <c r="H568" s="37">
        <v>0</v>
      </c>
      <c r="I568" s="37">
        <v>0</v>
      </c>
      <c r="J568" s="37">
        <v>0</v>
      </c>
      <c r="K568" s="37">
        <v>0</v>
      </c>
      <c r="L568" s="37">
        <v>0</v>
      </c>
      <c r="M568" s="37">
        <v>0</v>
      </c>
      <c r="N568" s="37">
        <v>0</v>
      </c>
      <c r="O568" s="37">
        <v>0</v>
      </c>
      <c r="P568" s="37">
        <v>0</v>
      </c>
      <c r="Q568" s="37">
        <v>0</v>
      </c>
      <c r="R568" s="37">
        <v>0</v>
      </c>
      <c r="S568" s="37">
        <v>0</v>
      </c>
      <c r="T568" s="37">
        <v>0</v>
      </c>
      <c r="U568" s="37">
        <v>0</v>
      </c>
      <c r="V568" s="37">
        <v>0</v>
      </c>
      <c r="W568" s="37">
        <v>0</v>
      </c>
      <c r="X568" s="37">
        <v>0</v>
      </c>
      <c r="Y568" s="37">
        <v>0</v>
      </c>
      <c r="Z568" s="8">
        <v>14780.78</v>
      </c>
      <c r="AA568" s="37">
        <v>0</v>
      </c>
    </row>
    <row r="569" spans="1:27" ht="36" customHeight="1">
      <c r="A569" s="120">
        <v>171</v>
      </c>
      <c r="B569" s="136" t="s">
        <v>777</v>
      </c>
      <c r="C569" s="1">
        <f t="shared" si="191"/>
        <v>2709865.25</v>
      </c>
      <c r="D569" s="1">
        <f t="shared" si="192"/>
        <v>0</v>
      </c>
      <c r="E569" s="1">
        <v>0</v>
      </c>
      <c r="F569" s="37">
        <v>0</v>
      </c>
      <c r="G569" s="37">
        <v>0</v>
      </c>
      <c r="H569" s="37">
        <v>0</v>
      </c>
      <c r="I569" s="37">
        <v>0</v>
      </c>
      <c r="J569" s="37">
        <v>0</v>
      </c>
      <c r="K569" s="37">
        <v>0</v>
      </c>
      <c r="L569" s="37">
        <v>0</v>
      </c>
      <c r="M569" s="37">
        <v>0</v>
      </c>
      <c r="N569" s="37">
        <v>0</v>
      </c>
      <c r="O569" s="8">
        <v>250.8</v>
      </c>
      <c r="P569" s="1">
        <v>2582462.9</v>
      </c>
      <c r="Q569" s="37">
        <v>0</v>
      </c>
      <c r="R569" s="37">
        <v>0</v>
      </c>
      <c r="S569" s="37">
        <v>0</v>
      </c>
      <c r="T569" s="37">
        <v>0</v>
      </c>
      <c r="U569" s="37">
        <v>0</v>
      </c>
      <c r="V569" s="37">
        <v>0</v>
      </c>
      <c r="W569" s="37">
        <v>0</v>
      </c>
      <c r="X569" s="37">
        <v>0</v>
      </c>
      <c r="Y569" s="37">
        <v>0</v>
      </c>
      <c r="Z569" s="8">
        <v>127402.35</v>
      </c>
      <c r="AA569" s="37">
        <v>0</v>
      </c>
    </row>
    <row r="570" spans="1:27" ht="42" customHeight="1">
      <c r="A570" s="120">
        <v>172</v>
      </c>
      <c r="B570" s="136" t="s">
        <v>778</v>
      </c>
      <c r="C570" s="1">
        <f t="shared" si="191"/>
        <v>469248.89999999997</v>
      </c>
      <c r="D570" s="1">
        <f t="shared" si="192"/>
        <v>448415.23</v>
      </c>
      <c r="E570" s="1">
        <v>448415.23</v>
      </c>
      <c r="F570" s="37">
        <v>0</v>
      </c>
      <c r="G570" s="37">
        <v>0</v>
      </c>
      <c r="H570" s="37">
        <v>0</v>
      </c>
      <c r="I570" s="37">
        <v>0</v>
      </c>
      <c r="J570" s="37">
        <v>0</v>
      </c>
      <c r="K570" s="37">
        <v>0</v>
      </c>
      <c r="L570" s="37">
        <v>0</v>
      </c>
      <c r="M570" s="37">
        <v>0</v>
      </c>
      <c r="N570" s="37">
        <v>0</v>
      </c>
      <c r="O570" s="37">
        <v>0</v>
      </c>
      <c r="P570" s="37">
        <v>0</v>
      </c>
      <c r="Q570" s="37">
        <v>0</v>
      </c>
      <c r="R570" s="37">
        <v>0</v>
      </c>
      <c r="S570" s="37">
        <v>0</v>
      </c>
      <c r="T570" s="37">
        <v>0</v>
      </c>
      <c r="U570" s="37">
        <v>0</v>
      </c>
      <c r="V570" s="37">
        <v>0</v>
      </c>
      <c r="W570" s="37">
        <v>0</v>
      </c>
      <c r="X570" s="37">
        <v>0</v>
      </c>
      <c r="Y570" s="37">
        <v>0</v>
      </c>
      <c r="Z570" s="8">
        <v>20833.669999999998</v>
      </c>
      <c r="AA570" s="37">
        <v>0</v>
      </c>
    </row>
    <row r="571" spans="1:27" ht="31.5" customHeight="1">
      <c r="A571" s="120">
        <v>173</v>
      </c>
      <c r="B571" s="136" t="s">
        <v>779</v>
      </c>
      <c r="C571" s="1">
        <f t="shared" si="191"/>
        <v>144588.15999999997</v>
      </c>
      <c r="D571" s="1">
        <f t="shared" si="192"/>
        <v>134086.01999999999</v>
      </c>
      <c r="E571" s="1">
        <v>134086.01999999999</v>
      </c>
      <c r="F571" s="37">
        <v>0</v>
      </c>
      <c r="G571" s="37">
        <v>0</v>
      </c>
      <c r="H571" s="37">
        <v>0</v>
      </c>
      <c r="I571" s="37">
        <v>0</v>
      </c>
      <c r="J571" s="37">
        <v>0</v>
      </c>
      <c r="K571" s="37">
        <v>0</v>
      </c>
      <c r="L571" s="37">
        <v>0</v>
      </c>
      <c r="M571" s="37">
        <v>0</v>
      </c>
      <c r="N571" s="37">
        <v>0</v>
      </c>
      <c r="O571" s="37">
        <v>0</v>
      </c>
      <c r="P571" s="37">
        <v>0</v>
      </c>
      <c r="Q571" s="37">
        <v>0</v>
      </c>
      <c r="R571" s="37">
        <v>0</v>
      </c>
      <c r="S571" s="37">
        <v>0</v>
      </c>
      <c r="T571" s="37">
        <v>0</v>
      </c>
      <c r="U571" s="37">
        <v>0</v>
      </c>
      <c r="V571" s="37">
        <v>0</v>
      </c>
      <c r="W571" s="37">
        <v>0</v>
      </c>
      <c r="X571" s="37">
        <v>0</v>
      </c>
      <c r="Y571" s="37">
        <v>0</v>
      </c>
      <c r="Z571" s="8">
        <v>10502.14</v>
      </c>
      <c r="AA571" s="37">
        <v>0</v>
      </c>
    </row>
    <row r="572" spans="1:27" ht="36.75" customHeight="1">
      <c r="A572" s="120">
        <v>174</v>
      </c>
      <c r="B572" s="136" t="s">
        <v>780</v>
      </c>
      <c r="C572" s="1">
        <f t="shared" si="191"/>
        <v>399174.33999999997</v>
      </c>
      <c r="D572" s="1">
        <f t="shared" si="192"/>
        <v>385122.04</v>
      </c>
      <c r="E572" s="1">
        <v>385122.04</v>
      </c>
      <c r="F572" s="37">
        <v>0</v>
      </c>
      <c r="G572" s="37">
        <v>0</v>
      </c>
      <c r="H572" s="37">
        <v>0</v>
      </c>
      <c r="I572" s="37">
        <v>0</v>
      </c>
      <c r="J572" s="37">
        <v>0</v>
      </c>
      <c r="K572" s="37">
        <v>0</v>
      </c>
      <c r="L572" s="37">
        <v>0</v>
      </c>
      <c r="M572" s="37">
        <v>0</v>
      </c>
      <c r="N572" s="37">
        <v>0</v>
      </c>
      <c r="O572" s="37">
        <v>0</v>
      </c>
      <c r="P572" s="37">
        <v>0</v>
      </c>
      <c r="Q572" s="37">
        <v>0</v>
      </c>
      <c r="R572" s="37">
        <v>0</v>
      </c>
      <c r="S572" s="37">
        <v>0</v>
      </c>
      <c r="T572" s="37">
        <v>0</v>
      </c>
      <c r="U572" s="37">
        <v>0</v>
      </c>
      <c r="V572" s="37">
        <v>0</v>
      </c>
      <c r="W572" s="37">
        <v>0</v>
      </c>
      <c r="X572" s="37">
        <v>0</v>
      </c>
      <c r="Y572" s="37">
        <v>0</v>
      </c>
      <c r="Z572" s="8">
        <v>14052.3</v>
      </c>
      <c r="AA572" s="37">
        <v>0</v>
      </c>
    </row>
    <row r="573" spans="1:27" ht="44.25" customHeight="1">
      <c r="A573" s="120">
        <v>175</v>
      </c>
      <c r="B573" s="136" t="s">
        <v>779</v>
      </c>
      <c r="C573" s="1">
        <f t="shared" si="191"/>
        <v>13447356</v>
      </c>
      <c r="D573" s="1">
        <f t="shared" si="192"/>
        <v>0</v>
      </c>
      <c r="E573" s="1">
        <v>0</v>
      </c>
      <c r="F573" s="37">
        <v>0</v>
      </c>
      <c r="G573" s="37">
        <v>0</v>
      </c>
      <c r="H573" s="37">
        <v>0</v>
      </c>
      <c r="I573" s="37">
        <v>0</v>
      </c>
      <c r="J573" s="37">
        <v>0</v>
      </c>
      <c r="K573" s="37">
        <v>0</v>
      </c>
      <c r="L573" s="37">
        <v>0</v>
      </c>
      <c r="M573" s="37">
        <v>0</v>
      </c>
      <c r="N573" s="37">
        <v>0</v>
      </c>
      <c r="O573" s="37">
        <v>0</v>
      </c>
      <c r="P573" s="37">
        <v>0</v>
      </c>
      <c r="Q573" s="37">
        <v>0</v>
      </c>
      <c r="R573" s="37">
        <v>0</v>
      </c>
      <c r="S573" s="8">
        <v>266.8</v>
      </c>
      <c r="T573" s="8">
        <v>13381851.26</v>
      </c>
      <c r="U573" s="37">
        <v>0</v>
      </c>
      <c r="V573" s="37">
        <v>0</v>
      </c>
      <c r="W573" s="37">
        <v>0</v>
      </c>
      <c r="X573" s="37">
        <v>0</v>
      </c>
      <c r="Y573" s="37">
        <v>0</v>
      </c>
      <c r="Z573" s="8">
        <v>65504.74</v>
      </c>
      <c r="AA573" s="37">
        <v>0</v>
      </c>
    </row>
    <row r="574" spans="1:27" ht="41.25" customHeight="1">
      <c r="A574" s="120">
        <v>176</v>
      </c>
      <c r="B574" s="136" t="s">
        <v>781</v>
      </c>
      <c r="C574" s="1">
        <f t="shared" si="191"/>
        <v>680381.70000000007</v>
      </c>
      <c r="D574" s="1">
        <f t="shared" si="192"/>
        <v>630962.29</v>
      </c>
      <c r="E574" s="1">
        <v>630962.29</v>
      </c>
      <c r="F574" s="37">
        <v>0</v>
      </c>
      <c r="G574" s="37">
        <v>0</v>
      </c>
      <c r="H574" s="37">
        <v>0</v>
      </c>
      <c r="I574" s="37">
        <v>0</v>
      </c>
      <c r="J574" s="37">
        <v>0</v>
      </c>
      <c r="K574" s="37">
        <v>0</v>
      </c>
      <c r="L574" s="37">
        <v>0</v>
      </c>
      <c r="M574" s="37">
        <v>0</v>
      </c>
      <c r="N574" s="37">
        <v>0</v>
      </c>
      <c r="O574" s="37">
        <v>0</v>
      </c>
      <c r="P574" s="37">
        <v>0</v>
      </c>
      <c r="Q574" s="37">
        <v>0</v>
      </c>
      <c r="R574" s="37">
        <v>0</v>
      </c>
      <c r="S574" s="37">
        <v>0</v>
      </c>
      <c r="T574" s="37">
        <v>0</v>
      </c>
      <c r="U574" s="37">
        <v>0</v>
      </c>
      <c r="V574" s="37">
        <v>0</v>
      </c>
      <c r="W574" s="37">
        <v>0</v>
      </c>
      <c r="X574" s="37">
        <v>0</v>
      </c>
      <c r="Y574" s="37">
        <v>0</v>
      </c>
      <c r="Z574" s="8">
        <v>49419.41</v>
      </c>
      <c r="AA574" s="37">
        <v>0</v>
      </c>
    </row>
    <row r="575" spans="1:27" ht="33" customHeight="1">
      <c r="A575" s="120">
        <v>177</v>
      </c>
      <c r="B575" s="156" t="s">
        <v>782</v>
      </c>
      <c r="C575" s="1">
        <f t="shared" si="191"/>
        <v>827796.43</v>
      </c>
      <c r="D575" s="1">
        <f t="shared" si="192"/>
        <v>784293.43</v>
      </c>
      <c r="E575" s="19">
        <v>784293.43</v>
      </c>
      <c r="F575" s="37">
        <v>0</v>
      </c>
      <c r="G575" s="37">
        <v>0</v>
      </c>
      <c r="H575" s="37">
        <v>0</v>
      </c>
      <c r="I575" s="37">
        <v>0</v>
      </c>
      <c r="J575" s="37">
        <v>0</v>
      </c>
      <c r="K575" s="37">
        <v>0</v>
      </c>
      <c r="L575" s="37">
        <v>0</v>
      </c>
      <c r="M575" s="37">
        <v>0</v>
      </c>
      <c r="N575" s="37">
        <v>0</v>
      </c>
      <c r="O575" s="37">
        <v>0</v>
      </c>
      <c r="P575" s="37">
        <v>0</v>
      </c>
      <c r="Q575" s="37">
        <v>0</v>
      </c>
      <c r="R575" s="37">
        <v>0</v>
      </c>
      <c r="S575" s="37">
        <v>0</v>
      </c>
      <c r="T575" s="37">
        <v>0</v>
      </c>
      <c r="U575" s="37">
        <v>0</v>
      </c>
      <c r="V575" s="37">
        <v>0</v>
      </c>
      <c r="W575" s="37">
        <v>0</v>
      </c>
      <c r="X575" s="37">
        <v>0</v>
      </c>
      <c r="Y575" s="37">
        <v>0</v>
      </c>
      <c r="Z575" s="157">
        <v>43503</v>
      </c>
      <c r="AA575" s="37">
        <v>0</v>
      </c>
    </row>
    <row r="576" spans="1:27" ht="33" customHeight="1">
      <c r="A576" s="120">
        <v>178</v>
      </c>
      <c r="B576" s="136" t="s">
        <v>783</v>
      </c>
      <c r="C576" s="1">
        <f t="shared" si="191"/>
        <v>816611.93</v>
      </c>
      <c r="D576" s="1">
        <f t="shared" si="192"/>
        <v>785924.4</v>
      </c>
      <c r="E576" s="1">
        <v>785924.4</v>
      </c>
      <c r="F576" s="37">
        <v>0</v>
      </c>
      <c r="G576" s="37">
        <v>0</v>
      </c>
      <c r="H576" s="37">
        <v>0</v>
      </c>
      <c r="I576" s="37">
        <v>0</v>
      </c>
      <c r="J576" s="37">
        <v>0</v>
      </c>
      <c r="K576" s="37">
        <v>0</v>
      </c>
      <c r="L576" s="37">
        <v>0</v>
      </c>
      <c r="M576" s="37">
        <v>0</v>
      </c>
      <c r="N576" s="37">
        <v>0</v>
      </c>
      <c r="O576" s="37">
        <v>0</v>
      </c>
      <c r="P576" s="37">
        <v>0</v>
      </c>
      <c r="Q576" s="37">
        <v>0</v>
      </c>
      <c r="R576" s="37">
        <v>0</v>
      </c>
      <c r="S576" s="37">
        <v>0</v>
      </c>
      <c r="T576" s="37">
        <v>0</v>
      </c>
      <c r="U576" s="37">
        <v>0</v>
      </c>
      <c r="V576" s="37">
        <v>0</v>
      </c>
      <c r="W576" s="37">
        <v>0</v>
      </c>
      <c r="X576" s="37">
        <v>0</v>
      </c>
      <c r="Y576" s="37">
        <v>0</v>
      </c>
      <c r="Z576" s="8">
        <v>30687.53</v>
      </c>
      <c r="AA576" s="37">
        <v>0</v>
      </c>
    </row>
    <row r="577" spans="1:27" ht="39" customHeight="1">
      <c r="A577" s="120">
        <v>179</v>
      </c>
      <c r="B577" s="129" t="s">
        <v>229</v>
      </c>
      <c r="C577" s="1">
        <f t="shared" si="191"/>
        <v>424619.88</v>
      </c>
      <c r="D577" s="1">
        <f t="shared" si="192"/>
        <v>393777.69</v>
      </c>
      <c r="E577" s="1">
        <v>393777.69</v>
      </c>
      <c r="F577" s="37">
        <v>0</v>
      </c>
      <c r="G577" s="37">
        <v>0</v>
      </c>
      <c r="H577" s="37">
        <v>0</v>
      </c>
      <c r="I577" s="37">
        <v>0</v>
      </c>
      <c r="J577" s="37">
        <v>0</v>
      </c>
      <c r="K577" s="37">
        <v>0</v>
      </c>
      <c r="L577" s="37">
        <v>0</v>
      </c>
      <c r="M577" s="37">
        <v>0</v>
      </c>
      <c r="N577" s="37">
        <v>0</v>
      </c>
      <c r="O577" s="37">
        <v>0</v>
      </c>
      <c r="P577" s="37">
        <v>0</v>
      </c>
      <c r="Q577" s="37">
        <v>0</v>
      </c>
      <c r="R577" s="37">
        <v>0</v>
      </c>
      <c r="S577" s="37">
        <v>0</v>
      </c>
      <c r="T577" s="37">
        <v>0</v>
      </c>
      <c r="U577" s="37">
        <v>0</v>
      </c>
      <c r="V577" s="37">
        <v>0</v>
      </c>
      <c r="W577" s="37">
        <v>0</v>
      </c>
      <c r="X577" s="37">
        <v>0</v>
      </c>
      <c r="Y577" s="37">
        <v>0</v>
      </c>
      <c r="Z577" s="8">
        <v>30842.19</v>
      </c>
      <c r="AA577" s="37">
        <v>0</v>
      </c>
    </row>
    <row r="578" spans="1:27" ht="44.25" customHeight="1">
      <c r="A578" s="120">
        <v>180</v>
      </c>
      <c r="B578" s="129" t="s">
        <v>230</v>
      </c>
      <c r="C578" s="1">
        <f t="shared" si="191"/>
        <v>390874.51999999996</v>
      </c>
      <c r="D578" s="1">
        <f t="shared" si="192"/>
        <v>362483.42</v>
      </c>
      <c r="E578" s="1">
        <v>362483.42</v>
      </c>
      <c r="F578" s="37">
        <v>0</v>
      </c>
      <c r="G578" s="37">
        <v>0</v>
      </c>
      <c r="H578" s="37">
        <v>0</v>
      </c>
      <c r="I578" s="37">
        <v>0</v>
      </c>
      <c r="J578" s="37">
        <v>0</v>
      </c>
      <c r="K578" s="37">
        <v>0</v>
      </c>
      <c r="L578" s="37">
        <v>0</v>
      </c>
      <c r="M578" s="37">
        <v>0</v>
      </c>
      <c r="N578" s="37">
        <v>0</v>
      </c>
      <c r="O578" s="37">
        <v>0</v>
      </c>
      <c r="P578" s="37">
        <v>0</v>
      </c>
      <c r="Q578" s="37">
        <v>0</v>
      </c>
      <c r="R578" s="37">
        <v>0</v>
      </c>
      <c r="S578" s="37">
        <v>0</v>
      </c>
      <c r="T578" s="37">
        <v>0</v>
      </c>
      <c r="U578" s="37">
        <v>0</v>
      </c>
      <c r="V578" s="37">
        <v>0</v>
      </c>
      <c r="W578" s="37">
        <v>0</v>
      </c>
      <c r="X578" s="37">
        <v>0</v>
      </c>
      <c r="Y578" s="37">
        <v>0</v>
      </c>
      <c r="Z578" s="8">
        <v>28391.1</v>
      </c>
      <c r="AA578" s="37">
        <v>0</v>
      </c>
    </row>
    <row r="579" spans="1:27" s="111" customFormat="1" ht="38.25" customHeight="1">
      <c r="A579" s="186" t="s">
        <v>73</v>
      </c>
      <c r="B579" s="187"/>
      <c r="C579" s="80">
        <f>SUM(C580:C590)</f>
        <v>53939542.290000007</v>
      </c>
      <c r="D579" s="80">
        <f t="shared" ref="D579:AA579" si="193">SUM(D580:D590)</f>
        <v>25645386.880000003</v>
      </c>
      <c r="E579" s="1">
        <f t="shared" si="193"/>
        <v>526192.18999999994</v>
      </c>
      <c r="F579" s="80">
        <f t="shared" si="193"/>
        <v>22311739.420000002</v>
      </c>
      <c r="G579" s="1">
        <f t="shared" si="193"/>
        <v>0</v>
      </c>
      <c r="H579" s="80">
        <f t="shared" si="193"/>
        <v>2095587.48</v>
      </c>
      <c r="I579" s="1">
        <f t="shared" si="193"/>
        <v>0</v>
      </c>
      <c r="J579" s="80">
        <f t="shared" si="193"/>
        <v>711867.79</v>
      </c>
      <c r="K579" s="1">
        <f t="shared" si="193"/>
        <v>0</v>
      </c>
      <c r="L579" s="1">
        <f t="shared" si="193"/>
        <v>0</v>
      </c>
      <c r="M579" s="1">
        <f t="shared" si="193"/>
        <v>0</v>
      </c>
      <c r="N579" s="1">
        <f t="shared" si="193"/>
        <v>0</v>
      </c>
      <c r="O579" s="1">
        <f t="shared" si="193"/>
        <v>1049.7</v>
      </c>
      <c r="P579" s="80">
        <f t="shared" si="193"/>
        <v>9379287</v>
      </c>
      <c r="Q579" s="80">
        <f t="shared" si="193"/>
        <v>625.5</v>
      </c>
      <c r="R579" s="80">
        <f t="shared" si="193"/>
        <v>1118049.98</v>
      </c>
      <c r="S579" s="80">
        <f t="shared" si="193"/>
        <v>3479.04</v>
      </c>
      <c r="T579" s="80">
        <f t="shared" si="193"/>
        <v>14434282.289999999</v>
      </c>
      <c r="U579" s="1">
        <f t="shared" si="193"/>
        <v>0</v>
      </c>
      <c r="V579" s="1">
        <f t="shared" si="193"/>
        <v>0</v>
      </c>
      <c r="W579" s="1">
        <f t="shared" si="193"/>
        <v>0</v>
      </c>
      <c r="X579" s="1">
        <f t="shared" si="193"/>
        <v>0</v>
      </c>
      <c r="Y579" s="1">
        <f t="shared" si="193"/>
        <v>0</v>
      </c>
      <c r="Z579" s="80">
        <f t="shared" si="193"/>
        <v>3362536.14</v>
      </c>
      <c r="AA579" s="1">
        <f t="shared" si="193"/>
        <v>0</v>
      </c>
    </row>
    <row r="580" spans="1:27" s="111" customFormat="1" ht="31.5" customHeight="1">
      <c r="A580" s="95">
        <v>181</v>
      </c>
      <c r="B580" s="124" t="s">
        <v>213</v>
      </c>
      <c r="C580" s="1">
        <f>D580+L580+N580+P580+R580+T580+V580+X580+Y580+Z580+AA580</f>
        <v>12088950.610000001</v>
      </c>
      <c r="D580" s="1">
        <f>E580+F580+G580+H580+I580+J580</f>
        <v>11539058.130000001</v>
      </c>
      <c r="E580" s="37">
        <v>0</v>
      </c>
      <c r="F580" s="1">
        <v>11539058.130000001</v>
      </c>
      <c r="G580" s="37">
        <v>0</v>
      </c>
      <c r="H580" s="37">
        <v>0</v>
      </c>
      <c r="I580" s="37">
        <v>0</v>
      </c>
      <c r="J580" s="37">
        <v>0</v>
      </c>
      <c r="K580" s="37">
        <v>0</v>
      </c>
      <c r="L580" s="37">
        <v>0</v>
      </c>
      <c r="M580" s="37">
        <v>0</v>
      </c>
      <c r="N580" s="37">
        <v>0</v>
      </c>
      <c r="O580" s="37">
        <v>0</v>
      </c>
      <c r="P580" s="37">
        <v>0</v>
      </c>
      <c r="Q580" s="37">
        <v>0</v>
      </c>
      <c r="R580" s="37">
        <v>0</v>
      </c>
      <c r="S580" s="37">
        <v>0</v>
      </c>
      <c r="T580" s="37">
        <v>0</v>
      </c>
      <c r="U580" s="37">
        <v>0</v>
      </c>
      <c r="V580" s="37">
        <v>0</v>
      </c>
      <c r="W580" s="37">
        <v>0</v>
      </c>
      <c r="X580" s="37">
        <v>0</v>
      </c>
      <c r="Y580" s="37">
        <v>0</v>
      </c>
      <c r="Z580" s="8">
        <v>549892.48</v>
      </c>
      <c r="AA580" s="37">
        <v>0</v>
      </c>
    </row>
    <row r="581" spans="1:27" s="111" customFormat="1" ht="41.25" customHeight="1">
      <c r="A581" s="95">
        <v>182</v>
      </c>
      <c r="B581" s="124" t="s">
        <v>214</v>
      </c>
      <c r="C581" s="1">
        <f t="shared" ref="C581:C610" si="194">D581+L581+N581+P581+R581+T581+V581+X581+Y581+Z581+AA581</f>
        <v>1745231.35</v>
      </c>
      <c r="D581" s="1">
        <f t="shared" ref="D581:D590" si="195">E581+F581+G581+H581+I581+J581</f>
        <v>1665322.23</v>
      </c>
      <c r="E581" s="37">
        <v>0</v>
      </c>
      <c r="F581" s="1">
        <v>1039017.11</v>
      </c>
      <c r="G581" s="37">
        <v>0</v>
      </c>
      <c r="H581" s="1">
        <v>626305.12</v>
      </c>
      <c r="I581" s="37">
        <v>0</v>
      </c>
      <c r="J581" s="37">
        <v>0</v>
      </c>
      <c r="K581" s="37">
        <v>0</v>
      </c>
      <c r="L581" s="37">
        <v>0</v>
      </c>
      <c r="M581" s="37">
        <v>0</v>
      </c>
      <c r="N581" s="37">
        <v>0</v>
      </c>
      <c r="O581" s="37">
        <v>0</v>
      </c>
      <c r="P581" s="37">
        <v>0</v>
      </c>
      <c r="Q581" s="37">
        <v>0</v>
      </c>
      <c r="R581" s="37">
        <v>0</v>
      </c>
      <c r="S581" s="37">
        <v>0</v>
      </c>
      <c r="T581" s="37">
        <v>0</v>
      </c>
      <c r="U581" s="37">
        <v>0</v>
      </c>
      <c r="V581" s="37">
        <v>0</v>
      </c>
      <c r="W581" s="37">
        <v>0</v>
      </c>
      <c r="X581" s="37">
        <v>0</v>
      </c>
      <c r="Y581" s="37">
        <v>0</v>
      </c>
      <c r="Z581" s="8">
        <v>79909.119999999995</v>
      </c>
      <c r="AA581" s="37">
        <v>0</v>
      </c>
    </row>
    <row r="582" spans="1:27" s="111" customFormat="1" ht="39" customHeight="1">
      <c r="A582" s="95">
        <v>183</v>
      </c>
      <c r="B582" s="124" t="s">
        <v>215</v>
      </c>
      <c r="C582" s="1">
        <f t="shared" si="194"/>
        <v>1196712.8599999999</v>
      </c>
      <c r="D582" s="1">
        <f t="shared" si="195"/>
        <v>0</v>
      </c>
      <c r="E582" s="37">
        <v>0</v>
      </c>
      <c r="F582" s="37">
        <v>0</v>
      </c>
      <c r="G582" s="37">
        <v>0</v>
      </c>
      <c r="H582" s="37">
        <v>0</v>
      </c>
      <c r="I582" s="37">
        <v>0</v>
      </c>
      <c r="J582" s="37">
        <v>0</v>
      </c>
      <c r="K582" s="37">
        <v>0</v>
      </c>
      <c r="L582" s="37">
        <v>0</v>
      </c>
      <c r="M582" s="37">
        <v>0</v>
      </c>
      <c r="N582" s="37">
        <v>0</v>
      </c>
      <c r="O582" s="37">
        <v>0</v>
      </c>
      <c r="P582" s="37">
        <v>0</v>
      </c>
      <c r="Q582" s="8">
        <v>625.5</v>
      </c>
      <c r="R582" s="1">
        <v>1118049.98</v>
      </c>
      <c r="S582" s="37">
        <v>0</v>
      </c>
      <c r="T582" s="37">
        <v>0</v>
      </c>
      <c r="U582" s="37">
        <v>0</v>
      </c>
      <c r="V582" s="37">
        <v>0</v>
      </c>
      <c r="W582" s="37">
        <v>0</v>
      </c>
      <c r="X582" s="37">
        <v>0</v>
      </c>
      <c r="Y582" s="37">
        <v>0</v>
      </c>
      <c r="Z582" s="8">
        <v>78662.880000000005</v>
      </c>
      <c r="AA582" s="37">
        <v>0</v>
      </c>
    </row>
    <row r="583" spans="1:27" s="111" customFormat="1" ht="33.75" customHeight="1">
      <c r="A583" s="95">
        <v>184</v>
      </c>
      <c r="B583" s="124" t="s">
        <v>216</v>
      </c>
      <c r="C583" s="1">
        <f t="shared" si="194"/>
        <v>10410913.539999999</v>
      </c>
      <c r="D583" s="1">
        <f t="shared" si="195"/>
        <v>0</v>
      </c>
      <c r="E583" s="37">
        <v>0</v>
      </c>
      <c r="F583" s="37">
        <v>0</v>
      </c>
      <c r="G583" s="37">
        <v>0</v>
      </c>
      <c r="H583" s="37">
        <v>0</v>
      </c>
      <c r="I583" s="37">
        <v>0</v>
      </c>
      <c r="J583" s="37">
        <v>0</v>
      </c>
      <c r="K583" s="37">
        <v>0</v>
      </c>
      <c r="L583" s="37">
        <v>0</v>
      </c>
      <c r="M583" s="37">
        <v>0</v>
      </c>
      <c r="N583" s="37">
        <v>0</v>
      </c>
      <c r="O583" s="37">
        <v>0</v>
      </c>
      <c r="P583" s="37">
        <v>0</v>
      </c>
      <c r="Q583" s="37">
        <v>0</v>
      </c>
      <c r="R583" s="37">
        <v>0</v>
      </c>
      <c r="S583" s="8">
        <v>2327.04</v>
      </c>
      <c r="T583" s="8">
        <v>9654718.6199999992</v>
      </c>
      <c r="U583" s="37">
        <v>0</v>
      </c>
      <c r="V583" s="37">
        <v>0</v>
      </c>
      <c r="W583" s="37">
        <v>0</v>
      </c>
      <c r="X583" s="37">
        <v>0</v>
      </c>
      <c r="Y583" s="37">
        <v>0</v>
      </c>
      <c r="Z583" s="8">
        <v>756194.92</v>
      </c>
      <c r="AA583" s="37">
        <v>0</v>
      </c>
    </row>
    <row r="584" spans="1:27" s="111" customFormat="1" ht="40.5" customHeight="1">
      <c r="A584" s="95">
        <v>185</v>
      </c>
      <c r="B584" s="124" t="s">
        <v>217</v>
      </c>
      <c r="C584" s="1">
        <f t="shared" si="194"/>
        <v>9618584.9499999993</v>
      </c>
      <c r="D584" s="1">
        <f t="shared" si="195"/>
        <v>0</v>
      </c>
      <c r="E584" s="37">
        <v>0</v>
      </c>
      <c r="F584" s="37">
        <v>0</v>
      </c>
      <c r="G584" s="37">
        <v>0</v>
      </c>
      <c r="H584" s="37">
        <v>0</v>
      </c>
      <c r="I584" s="37">
        <v>0</v>
      </c>
      <c r="J584" s="37">
        <v>0</v>
      </c>
      <c r="K584" s="37">
        <v>0</v>
      </c>
      <c r="L584" s="37">
        <v>0</v>
      </c>
      <c r="M584" s="37">
        <v>0</v>
      </c>
      <c r="N584" s="37">
        <v>0</v>
      </c>
      <c r="O584" s="8">
        <v>1049.7</v>
      </c>
      <c r="P584" s="1">
        <v>9379287</v>
      </c>
      <c r="Q584" s="37">
        <v>0</v>
      </c>
      <c r="R584" s="37">
        <v>0</v>
      </c>
      <c r="S584" s="37">
        <v>0</v>
      </c>
      <c r="T584" s="37">
        <v>0</v>
      </c>
      <c r="U584" s="37">
        <v>0</v>
      </c>
      <c r="V584" s="37">
        <v>0</v>
      </c>
      <c r="W584" s="37">
        <v>0</v>
      </c>
      <c r="X584" s="37">
        <v>0</v>
      </c>
      <c r="Y584" s="37">
        <v>0</v>
      </c>
      <c r="Z584" s="8">
        <v>239297.95</v>
      </c>
      <c r="AA584" s="37">
        <v>0</v>
      </c>
    </row>
    <row r="585" spans="1:27" s="111" customFormat="1" ht="33.75" customHeight="1">
      <c r="A585" s="95">
        <v>186</v>
      </c>
      <c r="B585" s="124" t="s">
        <v>218</v>
      </c>
      <c r="C585" s="1">
        <f t="shared" si="194"/>
        <v>1904938.31</v>
      </c>
      <c r="D585" s="1">
        <f t="shared" si="195"/>
        <v>1809679.1300000001</v>
      </c>
      <c r="E585" s="37">
        <v>0</v>
      </c>
      <c r="F585" s="1">
        <v>1129083.3400000001</v>
      </c>
      <c r="G585" s="37">
        <v>0</v>
      </c>
      <c r="H585" s="1">
        <v>680595.79</v>
      </c>
      <c r="I585" s="37">
        <v>0</v>
      </c>
      <c r="J585" s="37">
        <v>0</v>
      </c>
      <c r="K585" s="37">
        <v>0</v>
      </c>
      <c r="L585" s="37">
        <v>0</v>
      </c>
      <c r="M585" s="37">
        <v>0</v>
      </c>
      <c r="N585" s="37">
        <v>0</v>
      </c>
      <c r="O585" s="37">
        <v>0</v>
      </c>
      <c r="P585" s="37">
        <v>0</v>
      </c>
      <c r="Q585" s="37">
        <v>0</v>
      </c>
      <c r="R585" s="37">
        <v>0</v>
      </c>
      <c r="S585" s="37">
        <v>0</v>
      </c>
      <c r="T585" s="37">
        <v>0</v>
      </c>
      <c r="U585" s="37">
        <v>0</v>
      </c>
      <c r="V585" s="37">
        <v>0</v>
      </c>
      <c r="W585" s="37">
        <v>0</v>
      </c>
      <c r="X585" s="37">
        <v>0</v>
      </c>
      <c r="Y585" s="37">
        <v>0</v>
      </c>
      <c r="Z585" s="8">
        <v>95259.18</v>
      </c>
      <c r="AA585" s="37">
        <v>0</v>
      </c>
    </row>
    <row r="586" spans="1:27" s="111" customFormat="1" ht="40.5" customHeight="1">
      <c r="A586" s="95">
        <v>187</v>
      </c>
      <c r="B586" s="124" t="s">
        <v>210</v>
      </c>
      <c r="C586" s="1">
        <f t="shared" si="194"/>
        <v>1221240.79</v>
      </c>
      <c r="D586" s="1">
        <f t="shared" si="195"/>
        <v>1132536.18</v>
      </c>
      <c r="E586" s="37">
        <v>0</v>
      </c>
      <c r="F586" s="37">
        <v>0</v>
      </c>
      <c r="G586" s="37">
        <v>0</v>
      </c>
      <c r="H586" s="1">
        <v>788686.57</v>
      </c>
      <c r="I586" s="37">
        <v>0</v>
      </c>
      <c r="J586" s="1">
        <v>343849.61</v>
      </c>
      <c r="K586" s="37">
        <v>0</v>
      </c>
      <c r="L586" s="37">
        <v>0</v>
      </c>
      <c r="M586" s="37">
        <v>0</v>
      </c>
      <c r="N586" s="37">
        <v>0</v>
      </c>
      <c r="O586" s="37">
        <v>0</v>
      </c>
      <c r="P586" s="37">
        <v>0</v>
      </c>
      <c r="Q586" s="37">
        <v>0</v>
      </c>
      <c r="R586" s="37">
        <v>0</v>
      </c>
      <c r="S586" s="37">
        <v>0</v>
      </c>
      <c r="T586" s="37">
        <v>0</v>
      </c>
      <c r="U586" s="37">
        <v>0</v>
      </c>
      <c r="V586" s="37">
        <v>0</v>
      </c>
      <c r="W586" s="37">
        <v>0</v>
      </c>
      <c r="X586" s="37">
        <v>0</v>
      </c>
      <c r="Y586" s="37">
        <v>0</v>
      </c>
      <c r="Z586" s="8">
        <v>88704.61</v>
      </c>
      <c r="AA586" s="37">
        <v>0</v>
      </c>
    </row>
    <row r="587" spans="1:27" s="111" customFormat="1" ht="46.5" customHeight="1">
      <c r="A587" s="95">
        <v>188</v>
      </c>
      <c r="B587" s="124" t="s">
        <v>217</v>
      </c>
      <c r="C587" s="1">
        <f t="shared" si="194"/>
        <v>9278524.9000000004</v>
      </c>
      <c r="D587" s="1">
        <f t="shared" si="195"/>
        <v>8604580.8399999999</v>
      </c>
      <c r="E587" s="37">
        <v>0</v>
      </c>
      <c r="F587" s="1">
        <v>8604580.8399999999</v>
      </c>
      <c r="G587" s="37">
        <v>0</v>
      </c>
      <c r="H587" s="37">
        <v>0</v>
      </c>
      <c r="I587" s="37">
        <v>0</v>
      </c>
      <c r="J587" s="37">
        <v>0</v>
      </c>
      <c r="K587" s="37">
        <v>0</v>
      </c>
      <c r="L587" s="37">
        <v>0</v>
      </c>
      <c r="M587" s="37">
        <v>0</v>
      </c>
      <c r="N587" s="37">
        <v>0</v>
      </c>
      <c r="O587" s="37">
        <v>0</v>
      </c>
      <c r="P587" s="37">
        <v>0</v>
      </c>
      <c r="Q587" s="37">
        <v>0</v>
      </c>
      <c r="R587" s="37">
        <v>0</v>
      </c>
      <c r="S587" s="37">
        <v>0</v>
      </c>
      <c r="T587" s="37">
        <v>0</v>
      </c>
      <c r="U587" s="37">
        <v>0</v>
      </c>
      <c r="V587" s="37">
        <v>0</v>
      </c>
      <c r="W587" s="37">
        <v>0</v>
      </c>
      <c r="X587" s="37">
        <v>0</v>
      </c>
      <c r="Y587" s="37">
        <v>0</v>
      </c>
      <c r="Z587" s="8">
        <v>673944.06</v>
      </c>
      <c r="AA587" s="37">
        <v>0</v>
      </c>
    </row>
    <row r="588" spans="1:27" s="111" customFormat="1" ht="33.75" customHeight="1">
      <c r="A588" s="95">
        <v>189</v>
      </c>
      <c r="B588" s="124" t="s">
        <v>219</v>
      </c>
      <c r="C588" s="1">
        <f t="shared" si="194"/>
        <v>964248.3899999999</v>
      </c>
      <c r="D588" s="1">
        <f t="shared" si="195"/>
        <v>894210.36999999988</v>
      </c>
      <c r="E588" s="1">
        <v>526192.18999999994</v>
      </c>
      <c r="F588" s="37">
        <v>0</v>
      </c>
      <c r="G588" s="37">
        <v>0</v>
      </c>
      <c r="H588" s="37">
        <v>0</v>
      </c>
      <c r="I588" s="37">
        <v>0</v>
      </c>
      <c r="J588" s="1">
        <v>368018.18</v>
      </c>
      <c r="K588" s="37">
        <v>0</v>
      </c>
      <c r="L588" s="37">
        <v>0</v>
      </c>
      <c r="M588" s="37">
        <v>0</v>
      </c>
      <c r="N588" s="37">
        <v>0</v>
      </c>
      <c r="O588" s="37">
        <v>0</v>
      </c>
      <c r="P588" s="37">
        <v>0</v>
      </c>
      <c r="Q588" s="37">
        <v>0</v>
      </c>
      <c r="R588" s="37">
        <v>0</v>
      </c>
      <c r="S588" s="37">
        <v>0</v>
      </c>
      <c r="T588" s="37">
        <v>0</v>
      </c>
      <c r="U588" s="37">
        <v>0</v>
      </c>
      <c r="V588" s="37">
        <v>0</v>
      </c>
      <c r="W588" s="37">
        <v>0</v>
      </c>
      <c r="X588" s="37">
        <v>0</v>
      </c>
      <c r="Y588" s="37">
        <v>0</v>
      </c>
      <c r="Z588" s="8">
        <v>70038.02</v>
      </c>
      <c r="AA588" s="37">
        <v>0</v>
      </c>
    </row>
    <row r="589" spans="1:27" s="111" customFormat="1" ht="33.75" customHeight="1">
      <c r="A589" s="95">
        <v>190</v>
      </c>
      <c r="B589" s="124" t="s">
        <v>220</v>
      </c>
      <c r="C589" s="1">
        <f t="shared" si="194"/>
        <v>5153917.59</v>
      </c>
      <c r="D589" s="1">
        <f t="shared" si="195"/>
        <v>0</v>
      </c>
      <c r="E589" s="37">
        <v>0</v>
      </c>
      <c r="F589" s="37">
        <v>0</v>
      </c>
      <c r="G589" s="37">
        <v>0</v>
      </c>
      <c r="H589" s="37">
        <v>0</v>
      </c>
      <c r="I589" s="37">
        <v>0</v>
      </c>
      <c r="J589" s="37">
        <v>0</v>
      </c>
      <c r="K589" s="37">
        <v>0</v>
      </c>
      <c r="L589" s="37">
        <v>0</v>
      </c>
      <c r="M589" s="37">
        <v>0</v>
      </c>
      <c r="N589" s="37">
        <v>0</v>
      </c>
      <c r="O589" s="37">
        <v>0</v>
      </c>
      <c r="P589" s="37">
        <v>0</v>
      </c>
      <c r="Q589" s="37">
        <v>0</v>
      </c>
      <c r="R589" s="37">
        <v>0</v>
      </c>
      <c r="S589" s="8">
        <v>1152</v>
      </c>
      <c r="T589" s="8">
        <v>4779563.67</v>
      </c>
      <c r="U589" s="37">
        <v>0</v>
      </c>
      <c r="V589" s="37">
        <v>0</v>
      </c>
      <c r="W589" s="37">
        <v>0</v>
      </c>
      <c r="X589" s="37">
        <v>0</v>
      </c>
      <c r="Y589" s="37">
        <v>0</v>
      </c>
      <c r="Z589" s="8">
        <v>374353.91999999998</v>
      </c>
      <c r="AA589" s="37">
        <v>0</v>
      </c>
    </row>
    <row r="590" spans="1:27" s="111" customFormat="1" ht="40.5" customHeight="1">
      <c r="A590" s="95">
        <v>191</v>
      </c>
      <c r="B590" s="124" t="s">
        <v>221</v>
      </c>
      <c r="C590" s="1">
        <f t="shared" si="194"/>
        <v>356279</v>
      </c>
      <c r="D590" s="1">
        <f t="shared" si="195"/>
        <v>0</v>
      </c>
      <c r="E590" s="37">
        <v>0</v>
      </c>
      <c r="F590" s="37">
        <v>0</v>
      </c>
      <c r="G590" s="37">
        <v>0</v>
      </c>
      <c r="H590" s="37">
        <v>0</v>
      </c>
      <c r="I590" s="37">
        <v>0</v>
      </c>
      <c r="J590" s="37">
        <v>0</v>
      </c>
      <c r="K590" s="37">
        <v>0</v>
      </c>
      <c r="L590" s="37">
        <v>0</v>
      </c>
      <c r="M590" s="37">
        <v>0</v>
      </c>
      <c r="N590" s="37">
        <v>0</v>
      </c>
      <c r="O590" s="37">
        <v>0</v>
      </c>
      <c r="P590" s="37">
        <v>0</v>
      </c>
      <c r="Q590" s="37">
        <v>0</v>
      </c>
      <c r="R590" s="37">
        <v>0</v>
      </c>
      <c r="S590" s="37">
        <v>0</v>
      </c>
      <c r="T590" s="37">
        <v>0</v>
      </c>
      <c r="U590" s="37">
        <v>0</v>
      </c>
      <c r="V590" s="37">
        <v>0</v>
      </c>
      <c r="W590" s="37">
        <v>0</v>
      </c>
      <c r="X590" s="37">
        <v>0</v>
      </c>
      <c r="Y590" s="37">
        <v>0</v>
      </c>
      <c r="Z590" s="8">
        <v>356279</v>
      </c>
      <c r="AA590" s="37">
        <v>0</v>
      </c>
    </row>
    <row r="591" spans="1:27" s="111" customFormat="1" ht="38.25" customHeight="1">
      <c r="A591" s="191" t="s">
        <v>284</v>
      </c>
      <c r="B591" s="192"/>
      <c r="C591" s="80">
        <f>SUM(C592:C611)</f>
        <v>45943809.200000003</v>
      </c>
      <c r="D591" s="80">
        <f t="shared" ref="D591:AA591" si="196">SUM(D592:D611)</f>
        <v>4416744.08</v>
      </c>
      <c r="E591" s="1">
        <f t="shared" si="196"/>
        <v>0</v>
      </c>
      <c r="F591" s="1">
        <f t="shared" si="196"/>
        <v>0</v>
      </c>
      <c r="G591" s="1">
        <f t="shared" si="196"/>
        <v>0</v>
      </c>
      <c r="H591" s="1">
        <f t="shared" si="196"/>
        <v>0</v>
      </c>
      <c r="I591" s="1">
        <f t="shared" si="196"/>
        <v>0</v>
      </c>
      <c r="J591" s="80">
        <f t="shared" si="196"/>
        <v>4416744.08</v>
      </c>
      <c r="K591" s="1">
        <f t="shared" si="196"/>
        <v>0</v>
      </c>
      <c r="L591" s="1">
        <f t="shared" si="196"/>
        <v>0</v>
      </c>
      <c r="M591" s="1">
        <f t="shared" si="196"/>
        <v>0</v>
      </c>
      <c r="N591" s="1">
        <f t="shared" si="196"/>
        <v>0</v>
      </c>
      <c r="O591" s="1">
        <f t="shared" si="196"/>
        <v>3995.37</v>
      </c>
      <c r="P591" s="80">
        <f t="shared" si="196"/>
        <v>26532205.509999998</v>
      </c>
      <c r="Q591" s="80">
        <f t="shared" si="196"/>
        <v>786.2</v>
      </c>
      <c r="R591" s="80">
        <f t="shared" si="196"/>
        <v>1405293.19</v>
      </c>
      <c r="S591" s="80">
        <f t="shared" si="196"/>
        <v>1498.9</v>
      </c>
      <c r="T591" s="80">
        <f t="shared" si="196"/>
        <v>6218826.3799999999</v>
      </c>
      <c r="U591" s="1">
        <f t="shared" si="196"/>
        <v>0</v>
      </c>
      <c r="V591" s="1">
        <f t="shared" si="196"/>
        <v>0</v>
      </c>
      <c r="W591" s="1">
        <f t="shared" si="196"/>
        <v>35</v>
      </c>
      <c r="X591" s="80">
        <f t="shared" si="196"/>
        <v>4992983.38</v>
      </c>
      <c r="Y591" s="1">
        <f t="shared" si="196"/>
        <v>0</v>
      </c>
      <c r="Z591" s="80">
        <f t="shared" si="196"/>
        <v>2377756.66</v>
      </c>
      <c r="AA591" s="1">
        <f t="shared" si="196"/>
        <v>0</v>
      </c>
    </row>
    <row r="592" spans="1:27" s="111" customFormat="1" ht="36.75" customHeight="1">
      <c r="A592" s="95">
        <v>192</v>
      </c>
      <c r="B592" s="121" t="s">
        <v>464</v>
      </c>
      <c r="C592" s="1">
        <f t="shared" si="194"/>
        <v>2639593.21</v>
      </c>
      <c r="D592" s="1">
        <v>0</v>
      </c>
      <c r="E592" s="37">
        <v>0</v>
      </c>
      <c r="F592" s="37">
        <v>0</v>
      </c>
      <c r="G592" s="37">
        <v>0</v>
      </c>
      <c r="H592" s="37">
        <v>0</v>
      </c>
      <c r="I592" s="37">
        <v>0</v>
      </c>
      <c r="J592" s="37">
        <v>0</v>
      </c>
      <c r="K592" s="37">
        <v>0</v>
      </c>
      <c r="L592" s="37">
        <v>0</v>
      </c>
      <c r="M592" s="37">
        <v>0</v>
      </c>
      <c r="N592" s="37">
        <v>0</v>
      </c>
      <c r="O592" s="37">
        <v>0</v>
      </c>
      <c r="P592" s="37">
        <v>0</v>
      </c>
      <c r="Q592" s="37">
        <v>0</v>
      </c>
      <c r="R592" s="37">
        <v>0</v>
      </c>
      <c r="S592" s="1">
        <v>590</v>
      </c>
      <c r="T592" s="1">
        <v>2447866.81</v>
      </c>
      <c r="U592" s="37">
        <v>0</v>
      </c>
      <c r="V592" s="37">
        <v>0</v>
      </c>
      <c r="W592" s="37">
        <v>0</v>
      </c>
      <c r="X592" s="37">
        <v>0</v>
      </c>
      <c r="Y592" s="37">
        <v>0</v>
      </c>
      <c r="Z592" s="80">
        <v>191726.4</v>
      </c>
      <c r="AA592" s="1">
        <v>0</v>
      </c>
    </row>
    <row r="593" spans="1:27" s="111" customFormat="1" ht="36.75" customHeight="1">
      <c r="A593" s="95">
        <v>193</v>
      </c>
      <c r="B593" s="121" t="s">
        <v>465</v>
      </c>
      <c r="C593" s="1">
        <f t="shared" si="194"/>
        <v>3769325.41</v>
      </c>
      <c r="D593" s="1">
        <v>0</v>
      </c>
      <c r="E593" s="37">
        <v>0</v>
      </c>
      <c r="F593" s="37">
        <v>0</v>
      </c>
      <c r="G593" s="37">
        <v>0</v>
      </c>
      <c r="H593" s="37">
        <v>0</v>
      </c>
      <c r="I593" s="37">
        <v>0</v>
      </c>
      <c r="J593" s="37">
        <v>0</v>
      </c>
      <c r="K593" s="37">
        <v>0</v>
      </c>
      <c r="L593" s="37">
        <v>0</v>
      </c>
      <c r="M593" s="37">
        <v>0</v>
      </c>
      <c r="N593" s="37">
        <v>0</v>
      </c>
      <c r="O593" s="1">
        <v>407.72</v>
      </c>
      <c r="P593" s="1">
        <v>3643062.68</v>
      </c>
      <c r="Q593" s="37">
        <v>0</v>
      </c>
      <c r="R593" s="37">
        <v>0</v>
      </c>
      <c r="S593" s="37">
        <v>0</v>
      </c>
      <c r="T593" s="37">
        <v>0</v>
      </c>
      <c r="U593" s="37">
        <v>0</v>
      </c>
      <c r="V593" s="37">
        <v>0</v>
      </c>
      <c r="W593" s="37">
        <v>0</v>
      </c>
      <c r="X593" s="37">
        <v>0</v>
      </c>
      <c r="Y593" s="37">
        <v>0</v>
      </c>
      <c r="Z593" s="80">
        <v>126262.73</v>
      </c>
      <c r="AA593" s="1">
        <v>0</v>
      </c>
    </row>
    <row r="594" spans="1:27" s="111" customFormat="1" ht="96" customHeight="1">
      <c r="A594" s="95">
        <v>194</v>
      </c>
      <c r="B594" s="121" t="s">
        <v>784</v>
      </c>
      <c r="C594" s="1">
        <v>94445</v>
      </c>
      <c r="D594" s="1">
        <v>0</v>
      </c>
      <c r="E594" s="37">
        <v>0</v>
      </c>
      <c r="F594" s="37">
        <v>0</v>
      </c>
      <c r="G594" s="37">
        <v>0</v>
      </c>
      <c r="H594" s="37">
        <v>0</v>
      </c>
      <c r="I594" s="37">
        <v>0</v>
      </c>
      <c r="J594" s="37">
        <v>0</v>
      </c>
      <c r="K594" s="37">
        <v>0</v>
      </c>
      <c r="L594" s="37">
        <v>0</v>
      </c>
      <c r="M594" s="37">
        <v>0</v>
      </c>
      <c r="N594" s="1">
        <v>0</v>
      </c>
      <c r="O594" s="37">
        <v>0</v>
      </c>
      <c r="P594" s="37">
        <v>0</v>
      </c>
      <c r="Q594" s="37">
        <v>0</v>
      </c>
      <c r="R594" s="37">
        <v>0</v>
      </c>
      <c r="S594" s="37">
        <v>0</v>
      </c>
      <c r="T594" s="37">
        <v>0</v>
      </c>
      <c r="U594" s="37">
        <v>0</v>
      </c>
      <c r="V594" s="37">
        <v>0</v>
      </c>
      <c r="W594" s="37">
        <v>0</v>
      </c>
      <c r="X594" s="1" t="s">
        <v>315</v>
      </c>
      <c r="Y594" s="37">
        <v>0</v>
      </c>
      <c r="Z594" s="1">
        <v>94445</v>
      </c>
      <c r="AA594" s="1">
        <v>0</v>
      </c>
    </row>
    <row r="595" spans="1:27" s="111" customFormat="1" ht="94.5" customHeight="1">
      <c r="A595" s="95">
        <v>195</v>
      </c>
      <c r="B595" s="121" t="s">
        <v>303</v>
      </c>
      <c r="C595" s="1">
        <v>96710</v>
      </c>
      <c r="D595" s="1">
        <v>0</v>
      </c>
      <c r="E595" s="37">
        <v>0</v>
      </c>
      <c r="F595" s="37">
        <v>0</v>
      </c>
      <c r="G595" s="37">
        <v>0</v>
      </c>
      <c r="H595" s="37">
        <v>0</v>
      </c>
      <c r="I595" s="37">
        <v>0</v>
      </c>
      <c r="J595" s="37">
        <v>0</v>
      </c>
      <c r="K595" s="37">
        <v>0</v>
      </c>
      <c r="L595" s="37">
        <v>0</v>
      </c>
      <c r="M595" s="37">
        <v>0</v>
      </c>
      <c r="N595" s="1">
        <v>0</v>
      </c>
      <c r="O595" s="1">
        <v>0</v>
      </c>
      <c r="P595" s="1">
        <v>0</v>
      </c>
      <c r="Q595" s="37">
        <v>0</v>
      </c>
      <c r="R595" s="37">
        <v>0</v>
      </c>
      <c r="S595" s="37">
        <v>0</v>
      </c>
      <c r="T595" s="37">
        <v>0</v>
      </c>
      <c r="U595" s="37">
        <v>0</v>
      </c>
      <c r="V595" s="37">
        <v>0</v>
      </c>
      <c r="W595" s="37">
        <v>0</v>
      </c>
      <c r="X595" s="1" t="s">
        <v>315</v>
      </c>
      <c r="Y595" s="37">
        <v>0</v>
      </c>
      <c r="Z595" s="1">
        <v>96710</v>
      </c>
      <c r="AA595" s="1">
        <v>0</v>
      </c>
    </row>
    <row r="596" spans="1:27" s="111" customFormat="1" ht="36.75" customHeight="1">
      <c r="A596" s="95">
        <v>196</v>
      </c>
      <c r="B596" s="121" t="s">
        <v>466</v>
      </c>
      <c r="C596" s="1">
        <f t="shared" si="194"/>
        <v>2804286.73</v>
      </c>
      <c r="D596" s="1">
        <v>0</v>
      </c>
      <c r="E596" s="37">
        <v>0</v>
      </c>
      <c r="F596" s="37">
        <v>0</v>
      </c>
      <c r="G596" s="37">
        <v>0</v>
      </c>
      <c r="H596" s="37">
        <v>0</v>
      </c>
      <c r="I596" s="37">
        <v>0</v>
      </c>
      <c r="J596" s="37">
        <v>0</v>
      </c>
      <c r="K596" s="37">
        <v>0</v>
      </c>
      <c r="L596" s="37">
        <v>0</v>
      </c>
      <c r="M596" s="37">
        <v>0</v>
      </c>
      <c r="N596" s="1">
        <v>0</v>
      </c>
      <c r="O596" s="1">
        <v>549.20000000000005</v>
      </c>
      <c r="P596" s="1">
        <v>2703231.93</v>
      </c>
      <c r="Q596" s="37">
        <v>0</v>
      </c>
      <c r="R596" s="37">
        <v>0</v>
      </c>
      <c r="S596" s="37">
        <v>0</v>
      </c>
      <c r="T596" s="37">
        <v>0</v>
      </c>
      <c r="U596" s="37">
        <v>0</v>
      </c>
      <c r="V596" s="37">
        <v>0</v>
      </c>
      <c r="W596" s="37">
        <v>0</v>
      </c>
      <c r="X596" s="37">
        <v>0</v>
      </c>
      <c r="Y596" s="37">
        <v>0</v>
      </c>
      <c r="Z596" s="1">
        <v>101054.8</v>
      </c>
      <c r="AA596" s="1">
        <v>0</v>
      </c>
    </row>
    <row r="597" spans="1:27" s="111" customFormat="1" ht="33" customHeight="1">
      <c r="A597" s="95">
        <v>197</v>
      </c>
      <c r="B597" s="121" t="s">
        <v>467</v>
      </c>
      <c r="C597" s="1">
        <f t="shared" si="194"/>
        <v>1224618.1599999999</v>
      </c>
      <c r="D597" s="1">
        <v>1209829.51</v>
      </c>
      <c r="E597" s="1">
        <v>0</v>
      </c>
      <c r="F597" s="37">
        <v>0</v>
      </c>
      <c r="G597" s="37">
        <v>0</v>
      </c>
      <c r="H597" s="37">
        <v>0</v>
      </c>
      <c r="I597" s="37">
        <v>0</v>
      </c>
      <c r="J597" s="1">
        <v>1209829.51</v>
      </c>
      <c r="K597" s="37">
        <v>0</v>
      </c>
      <c r="L597" s="37">
        <v>0</v>
      </c>
      <c r="M597" s="37">
        <v>0</v>
      </c>
      <c r="N597" s="1">
        <v>0</v>
      </c>
      <c r="O597" s="1">
        <v>0</v>
      </c>
      <c r="P597" s="1">
        <v>0</v>
      </c>
      <c r="Q597" s="37">
        <v>0</v>
      </c>
      <c r="R597" s="37">
        <v>0</v>
      </c>
      <c r="S597" s="37">
        <v>0</v>
      </c>
      <c r="T597" s="37">
        <v>0</v>
      </c>
      <c r="U597" s="37">
        <v>0</v>
      </c>
      <c r="V597" s="37">
        <v>0</v>
      </c>
      <c r="W597" s="37">
        <v>0</v>
      </c>
      <c r="X597" s="37">
        <v>0</v>
      </c>
      <c r="Y597" s="37">
        <v>0</v>
      </c>
      <c r="Z597" s="1">
        <v>14788.65</v>
      </c>
      <c r="AA597" s="1">
        <v>0</v>
      </c>
    </row>
    <row r="598" spans="1:27" s="111" customFormat="1" ht="40.5" customHeight="1">
      <c r="A598" s="95">
        <v>198</v>
      </c>
      <c r="B598" s="121" t="s">
        <v>304</v>
      </c>
      <c r="C598" s="1">
        <f t="shared" si="194"/>
        <v>4181816.15</v>
      </c>
      <c r="D598" s="1">
        <v>0</v>
      </c>
      <c r="E598" s="37">
        <v>0</v>
      </c>
      <c r="F598" s="37">
        <v>0</v>
      </c>
      <c r="G598" s="37">
        <v>0</v>
      </c>
      <c r="H598" s="37">
        <v>0</v>
      </c>
      <c r="I598" s="37">
        <v>0</v>
      </c>
      <c r="J598" s="37">
        <v>0</v>
      </c>
      <c r="K598" s="37">
        <v>0</v>
      </c>
      <c r="L598" s="37">
        <v>0</v>
      </c>
      <c r="M598" s="37">
        <v>0</v>
      </c>
      <c r="N598" s="1">
        <v>0</v>
      </c>
      <c r="O598" s="1">
        <v>373.39</v>
      </c>
      <c r="P598" s="1">
        <v>4066184.73</v>
      </c>
      <c r="Q598" s="37">
        <v>0</v>
      </c>
      <c r="R598" s="37">
        <v>0</v>
      </c>
      <c r="S598" s="37">
        <v>0</v>
      </c>
      <c r="T598" s="37">
        <v>0</v>
      </c>
      <c r="U598" s="37">
        <v>0</v>
      </c>
      <c r="V598" s="37">
        <v>0</v>
      </c>
      <c r="W598" s="37">
        <v>0</v>
      </c>
      <c r="X598" s="37">
        <v>0</v>
      </c>
      <c r="Y598" s="37">
        <v>0</v>
      </c>
      <c r="Z598" s="37">
        <v>115631.42</v>
      </c>
      <c r="AA598" s="37">
        <v>0</v>
      </c>
    </row>
    <row r="599" spans="1:27" s="111" customFormat="1" ht="55.5" customHeight="1">
      <c r="A599" s="95">
        <v>199</v>
      </c>
      <c r="B599" s="121" t="s">
        <v>305</v>
      </c>
      <c r="C599" s="1">
        <f t="shared" si="194"/>
        <v>4992983.38</v>
      </c>
      <c r="D599" s="1">
        <v>0</v>
      </c>
      <c r="E599" s="37">
        <v>0</v>
      </c>
      <c r="F599" s="37">
        <v>0</v>
      </c>
      <c r="G599" s="37">
        <v>0</v>
      </c>
      <c r="H599" s="37">
        <v>0</v>
      </c>
      <c r="I599" s="37">
        <v>0</v>
      </c>
      <c r="J599" s="37">
        <v>0</v>
      </c>
      <c r="K599" s="37">
        <v>0</v>
      </c>
      <c r="L599" s="37">
        <v>0</v>
      </c>
      <c r="M599" s="37">
        <v>0</v>
      </c>
      <c r="N599" s="1">
        <v>0</v>
      </c>
      <c r="O599" s="1">
        <v>0</v>
      </c>
      <c r="P599" s="1">
        <v>0</v>
      </c>
      <c r="Q599" s="37">
        <v>0</v>
      </c>
      <c r="R599" s="37">
        <v>0</v>
      </c>
      <c r="S599" s="37">
        <v>0</v>
      </c>
      <c r="T599" s="37">
        <v>0</v>
      </c>
      <c r="U599" s="37">
        <v>0</v>
      </c>
      <c r="V599" s="37">
        <v>0</v>
      </c>
      <c r="W599" s="37">
        <v>35</v>
      </c>
      <c r="X599" s="37">
        <v>4992983.38</v>
      </c>
      <c r="Y599" s="37">
        <v>0</v>
      </c>
      <c r="Z599" s="37">
        <v>0</v>
      </c>
      <c r="AA599" s="37">
        <v>0</v>
      </c>
    </row>
    <row r="600" spans="1:27" s="111" customFormat="1" ht="38.25" customHeight="1">
      <c r="A600" s="95">
        <v>200</v>
      </c>
      <c r="B600" s="121" t="s">
        <v>468</v>
      </c>
      <c r="C600" s="1">
        <f t="shared" si="194"/>
        <v>809195.26</v>
      </c>
      <c r="D600" s="1">
        <v>791959.65</v>
      </c>
      <c r="E600" s="1">
        <v>0</v>
      </c>
      <c r="F600" s="37">
        <v>0</v>
      </c>
      <c r="G600" s="37">
        <v>0</v>
      </c>
      <c r="H600" s="37">
        <v>0</v>
      </c>
      <c r="I600" s="37">
        <v>0</v>
      </c>
      <c r="J600" s="1">
        <v>791959.65</v>
      </c>
      <c r="K600" s="37">
        <v>0</v>
      </c>
      <c r="L600" s="37">
        <v>0</v>
      </c>
      <c r="M600" s="37">
        <v>0</v>
      </c>
      <c r="N600" s="1">
        <v>0</v>
      </c>
      <c r="O600" s="1">
        <v>0</v>
      </c>
      <c r="P600" s="1">
        <v>0</v>
      </c>
      <c r="Q600" s="37">
        <v>0</v>
      </c>
      <c r="R600" s="37">
        <v>0</v>
      </c>
      <c r="S600" s="37">
        <v>0</v>
      </c>
      <c r="T600" s="37">
        <v>0</v>
      </c>
      <c r="U600" s="37">
        <v>0</v>
      </c>
      <c r="V600" s="37">
        <v>0</v>
      </c>
      <c r="W600" s="37">
        <v>0</v>
      </c>
      <c r="X600" s="37">
        <v>0</v>
      </c>
      <c r="Y600" s="37">
        <v>0</v>
      </c>
      <c r="Z600" s="1">
        <v>17235.61</v>
      </c>
      <c r="AA600" s="37">
        <v>0</v>
      </c>
    </row>
    <row r="601" spans="1:27" s="111" customFormat="1" ht="34.5" customHeight="1">
      <c r="A601" s="95">
        <v>201</v>
      </c>
      <c r="B601" s="121" t="s">
        <v>555</v>
      </c>
      <c r="C601" s="1">
        <f t="shared" si="194"/>
        <v>1230205.48</v>
      </c>
      <c r="D601" s="1">
        <v>1205614.3899999999</v>
      </c>
      <c r="E601" s="1">
        <v>0</v>
      </c>
      <c r="F601" s="37">
        <v>0</v>
      </c>
      <c r="G601" s="37">
        <v>0</v>
      </c>
      <c r="H601" s="37">
        <v>0</v>
      </c>
      <c r="I601" s="37">
        <v>0</v>
      </c>
      <c r="J601" s="1">
        <v>1205614.3899999999</v>
      </c>
      <c r="K601" s="37">
        <v>0</v>
      </c>
      <c r="L601" s="37">
        <v>0</v>
      </c>
      <c r="M601" s="37">
        <v>0</v>
      </c>
      <c r="N601" s="1">
        <v>0</v>
      </c>
      <c r="O601" s="1">
        <v>0</v>
      </c>
      <c r="P601" s="1">
        <v>0</v>
      </c>
      <c r="Q601" s="37">
        <v>0</v>
      </c>
      <c r="R601" s="37">
        <v>0</v>
      </c>
      <c r="S601" s="37">
        <v>0</v>
      </c>
      <c r="T601" s="37">
        <v>0</v>
      </c>
      <c r="U601" s="37">
        <v>0</v>
      </c>
      <c r="V601" s="37">
        <v>0</v>
      </c>
      <c r="W601" s="37">
        <v>0</v>
      </c>
      <c r="X601" s="37">
        <v>0</v>
      </c>
      <c r="Y601" s="37">
        <v>0</v>
      </c>
      <c r="Z601" s="1">
        <v>24591.09</v>
      </c>
      <c r="AA601" s="37">
        <v>0</v>
      </c>
    </row>
    <row r="602" spans="1:27" s="111" customFormat="1" ht="31.5" customHeight="1">
      <c r="A602" s="95">
        <v>202</v>
      </c>
      <c r="B602" s="121" t="s">
        <v>306</v>
      </c>
      <c r="C602" s="1">
        <f t="shared" si="194"/>
        <v>1441223.3</v>
      </c>
      <c r="D602" s="1">
        <v>0</v>
      </c>
      <c r="E602" s="37">
        <v>0</v>
      </c>
      <c r="F602" s="37">
        <v>0</v>
      </c>
      <c r="G602" s="37">
        <v>0</v>
      </c>
      <c r="H602" s="37">
        <v>0</v>
      </c>
      <c r="I602" s="37">
        <v>0</v>
      </c>
      <c r="J602" s="37">
        <v>0</v>
      </c>
      <c r="K602" s="37">
        <v>0</v>
      </c>
      <c r="L602" s="37">
        <v>0</v>
      </c>
      <c r="M602" s="37">
        <v>0</v>
      </c>
      <c r="N602" s="1">
        <v>0</v>
      </c>
      <c r="O602" s="1">
        <v>0</v>
      </c>
      <c r="P602" s="1">
        <v>0</v>
      </c>
      <c r="Q602" s="1">
        <v>786.2</v>
      </c>
      <c r="R602" s="1">
        <v>1405293.19</v>
      </c>
      <c r="S602" s="37">
        <v>0</v>
      </c>
      <c r="T602" s="37">
        <v>0</v>
      </c>
      <c r="U602" s="37">
        <v>0</v>
      </c>
      <c r="V602" s="37">
        <v>0</v>
      </c>
      <c r="W602" s="37">
        <v>0</v>
      </c>
      <c r="X602" s="37">
        <v>0</v>
      </c>
      <c r="Y602" s="37">
        <v>0</v>
      </c>
      <c r="Z602" s="1">
        <v>35930.11</v>
      </c>
      <c r="AA602" s="37">
        <v>0</v>
      </c>
    </row>
    <row r="603" spans="1:27" s="111" customFormat="1" ht="36" customHeight="1">
      <c r="A603" s="95">
        <v>203</v>
      </c>
      <c r="B603" s="121" t="s">
        <v>307</v>
      </c>
      <c r="C603" s="1">
        <f t="shared" si="194"/>
        <v>3837521.05</v>
      </c>
      <c r="D603" s="37">
        <v>0</v>
      </c>
      <c r="E603" s="37">
        <v>0</v>
      </c>
      <c r="F603" s="37">
        <v>0</v>
      </c>
      <c r="G603" s="37">
        <v>0</v>
      </c>
      <c r="H603" s="37">
        <v>0</v>
      </c>
      <c r="I603" s="37">
        <v>0</v>
      </c>
      <c r="J603" s="37">
        <v>0</v>
      </c>
      <c r="K603" s="37">
        <v>0</v>
      </c>
      <c r="L603" s="37">
        <v>0</v>
      </c>
      <c r="M603" s="37">
        <v>0</v>
      </c>
      <c r="N603" s="1">
        <v>0</v>
      </c>
      <c r="O603" s="1">
        <v>0</v>
      </c>
      <c r="P603" s="1">
        <v>0</v>
      </c>
      <c r="Q603" s="1">
        <v>0</v>
      </c>
      <c r="R603" s="37">
        <v>0</v>
      </c>
      <c r="S603" s="1">
        <v>908.9</v>
      </c>
      <c r="T603" s="1">
        <v>3770959.57</v>
      </c>
      <c r="U603" s="37">
        <v>0</v>
      </c>
      <c r="V603" s="37">
        <v>0</v>
      </c>
      <c r="W603" s="37">
        <v>0</v>
      </c>
      <c r="X603" s="37">
        <v>0</v>
      </c>
      <c r="Y603" s="37">
        <v>0</v>
      </c>
      <c r="Z603" s="1">
        <v>66561.48</v>
      </c>
      <c r="AA603" s="37">
        <v>0</v>
      </c>
    </row>
    <row r="604" spans="1:27" s="111" customFormat="1" ht="47.25" customHeight="1">
      <c r="A604" s="95">
        <v>204</v>
      </c>
      <c r="B604" s="121" t="s">
        <v>308</v>
      </c>
      <c r="C604" s="1">
        <f t="shared" si="194"/>
        <v>2878258.73</v>
      </c>
      <c r="D604" s="37">
        <v>0</v>
      </c>
      <c r="E604" s="37">
        <v>0</v>
      </c>
      <c r="F604" s="37">
        <v>0</v>
      </c>
      <c r="G604" s="37">
        <v>0</v>
      </c>
      <c r="H604" s="37">
        <v>0</v>
      </c>
      <c r="I604" s="37">
        <v>0</v>
      </c>
      <c r="J604" s="37">
        <v>0</v>
      </c>
      <c r="K604" s="37">
        <v>0</v>
      </c>
      <c r="L604" s="37">
        <v>0</v>
      </c>
      <c r="M604" s="37">
        <v>0</v>
      </c>
      <c r="N604" s="1">
        <v>0</v>
      </c>
      <c r="O604" s="1">
        <v>416.06</v>
      </c>
      <c r="P604" s="1">
        <v>2669196.9</v>
      </c>
      <c r="Q604" s="1">
        <v>0</v>
      </c>
      <c r="R604" s="37">
        <v>0</v>
      </c>
      <c r="S604" s="37">
        <v>0</v>
      </c>
      <c r="T604" s="37">
        <v>0</v>
      </c>
      <c r="U604" s="37">
        <v>0</v>
      </c>
      <c r="V604" s="37">
        <v>0</v>
      </c>
      <c r="W604" s="37">
        <v>0</v>
      </c>
      <c r="X604" s="37">
        <v>0</v>
      </c>
      <c r="Y604" s="37">
        <v>0</v>
      </c>
      <c r="Z604" s="1">
        <v>209061.83</v>
      </c>
      <c r="AA604" s="37">
        <v>0</v>
      </c>
    </row>
    <row r="605" spans="1:27" s="111" customFormat="1" ht="33.75" customHeight="1">
      <c r="A605" s="95">
        <v>205</v>
      </c>
      <c r="B605" s="121" t="s">
        <v>309</v>
      </c>
      <c r="C605" s="1">
        <f t="shared" si="194"/>
        <v>2345791.0299999998</v>
      </c>
      <c r="D605" s="37">
        <v>0</v>
      </c>
      <c r="E605" s="37">
        <v>0</v>
      </c>
      <c r="F605" s="37">
        <v>0</v>
      </c>
      <c r="G605" s="37">
        <v>0</v>
      </c>
      <c r="H605" s="37">
        <v>0</v>
      </c>
      <c r="I605" s="37">
        <v>0</v>
      </c>
      <c r="J605" s="37">
        <v>0</v>
      </c>
      <c r="K605" s="37">
        <v>0</v>
      </c>
      <c r="L605" s="37">
        <v>0</v>
      </c>
      <c r="M605" s="37">
        <v>0</v>
      </c>
      <c r="N605" s="1">
        <v>0</v>
      </c>
      <c r="O605" s="1">
        <v>578.79999999999995</v>
      </c>
      <c r="P605" s="1">
        <v>2203028.5499999998</v>
      </c>
      <c r="Q605" s="1">
        <v>0</v>
      </c>
      <c r="R605" s="37">
        <v>0</v>
      </c>
      <c r="S605" s="37">
        <v>0</v>
      </c>
      <c r="T605" s="37">
        <v>0</v>
      </c>
      <c r="U605" s="37">
        <v>0</v>
      </c>
      <c r="V605" s="37">
        <v>0</v>
      </c>
      <c r="W605" s="37">
        <v>0</v>
      </c>
      <c r="X605" s="37">
        <v>0</v>
      </c>
      <c r="Y605" s="37">
        <v>0</v>
      </c>
      <c r="Z605" s="1">
        <v>142762.48000000001</v>
      </c>
      <c r="AA605" s="37">
        <v>0</v>
      </c>
    </row>
    <row r="606" spans="1:27" s="111" customFormat="1" ht="31.5" customHeight="1">
      <c r="A606" s="95">
        <v>206</v>
      </c>
      <c r="B606" s="121" t="s">
        <v>469</v>
      </c>
      <c r="C606" s="1">
        <f t="shared" si="194"/>
        <v>1223137.73</v>
      </c>
      <c r="D606" s="37">
        <v>1209340.53</v>
      </c>
      <c r="E606" s="37">
        <v>0</v>
      </c>
      <c r="F606" s="37">
        <v>0</v>
      </c>
      <c r="G606" s="37">
        <v>0</v>
      </c>
      <c r="H606" s="37">
        <v>0</v>
      </c>
      <c r="I606" s="37">
        <v>0</v>
      </c>
      <c r="J606" s="37">
        <v>1209340.53</v>
      </c>
      <c r="K606" s="37">
        <v>0</v>
      </c>
      <c r="L606" s="37">
        <v>0</v>
      </c>
      <c r="M606" s="37">
        <v>0</v>
      </c>
      <c r="N606" s="1">
        <v>0</v>
      </c>
      <c r="O606" s="1">
        <v>0</v>
      </c>
      <c r="P606" s="1">
        <v>0</v>
      </c>
      <c r="Q606" s="1">
        <v>0</v>
      </c>
      <c r="R606" s="37">
        <v>0</v>
      </c>
      <c r="S606" s="37">
        <v>0</v>
      </c>
      <c r="T606" s="37">
        <v>0</v>
      </c>
      <c r="U606" s="37">
        <v>0</v>
      </c>
      <c r="V606" s="37">
        <v>0</v>
      </c>
      <c r="W606" s="37">
        <v>0</v>
      </c>
      <c r="X606" s="37">
        <v>0</v>
      </c>
      <c r="Y606" s="37">
        <v>0</v>
      </c>
      <c r="Z606" s="1">
        <v>13797.2</v>
      </c>
      <c r="AA606" s="37">
        <v>0</v>
      </c>
    </row>
    <row r="607" spans="1:27" s="111" customFormat="1" ht="43.5" customHeight="1">
      <c r="A607" s="95">
        <v>207</v>
      </c>
      <c r="B607" s="121" t="s">
        <v>470</v>
      </c>
      <c r="C607" s="1">
        <f t="shared" si="194"/>
        <v>5169049.9499999993</v>
      </c>
      <c r="D607" s="37">
        <v>0</v>
      </c>
      <c r="E607" s="37">
        <v>0</v>
      </c>
      <c r="F607" s="37">
        <v>0</v>
      </c>
      <c r="G607" s="37">
        <v>0</v>
      </c>
      <c r="H607" s="37">
        <v>0</v>
      </c>
      <c r="I607" s="37">
        <v>0</v>
      </c>
      <c r="J607" s="37">
        <v>0</v>
      </c>
      <c r="K607" s="37">
        <v>0</v>
      </c>
      <c r="L607" s="37">
        <v>0</v>
      </c>
      <c r="M607" s="37">
        <v>0</v>
      </c>
      <c r="N607" s="1">
        <v>0</v>
      </c>
      <c r="O607" s="1">
        <v>747.2</v>
      </c>
      <c r="P607" s="1">
        <v>4793596.8899999997</v>
      </c>
      <c r="Q607" s="1">
        <v>0</v>
      </c>
      <c r="R607" s="37">
        <v>0</v>
      </c>
      <c r="S607" s="37">
        <v>0</v>
      </c>
      <c r="T607" s="37">
        <v>0</v>
      </c>
      <c r="U607" s="37">
        <v>0</v>
      </c>
      <c r="V607" s="37">
        <v>0</v>
      </c>
      <c r="W607" s="37">
        <v>0</v>
      </c>
      <c r="X607" s="37">
        <v>0</v>
      </c>
      <c r="Y607" s="37">
        <v>0</v>
      </c>
      <c r="Z607" s="1">
        <v>375453.06</v>
      </c>
      <c r="AA607" s="37">
        <v>0</v>
      </c>
    </row>
    <row r="608" spans="1:27" s="111" customFormat="1" ht="52.5" customHeight="1">
      <c r="A608" s="95">
        <v>208</v>
      </c>
      <c r="B608" s="121" t="s">
        <v>861</v>
      </c>
      <c r="C608" s="1">
        <f t="shared" si="194"/>
        <v>1534866.98</v>
      </c>
      <c r="D608" s="37">
        <v>0</v>
      </c>
      <c r="E608" s="37">
        <v>0</v>
      </c>
      <c r="F608" s="37">
        <v>0</v>
      </c>
      <c r="G608" s="37">
        <v>0</v>
      </c>
      <c r="H608" s="37">
        <v>0</v>
      </c>
      <c r="I608" s="37">
        <v>0</v>
      </c>
      <c r="J608" s="37">
        <v>0</v>
      </c>
      <c r="K608" s="37">
        <v>0</v>
      </c>
      <c r="L608" s="37">
        <v>0</v>
      </c>
      <c r="M608" s="37">
        <v>0</v>
      </c>
      <c r="N608" s="1">
        <v>0</v>
      </c>
      <c r="O608" s="1">
        <v>360</v>
      </c>
      <c r="P608" s="1">
        <v>1423382.18</v>
      </c>
      <c r="Q608" s="1">
        <v>0</v>
      </c>
      <c r="R608" s="37">
        <v>0</v>
      </c>
      <c r="S608" s="37">
        <v>0</v>
      </c>
      <c r="T608" s="37">
        <v>0</v>
      </c>
      <c r="U608" s="37">
        <v>0</v>
      </c>
      <c r="V608" s="37">
        <v>0</v>
      </c>
      <c r="W608" s="37">
        <v>0</v>
      </c>
      <c r="X608" s="37">
        <v>0</v>
      </c>
      <c r="Y608" s="37">
        <v>0</v>
      </c>
      <c r="Z608" s="1">
        <v>111484.8</v>
      </c>
      <c r="AA608" s="37">
        <v>0</v>
      </c>
    </row>
    <row r="609" spans="1:27" s="111" customFormat="1" ht="87.75" customHeight="1">
      <c r="A609" s="95">
        <v>209</v>
      </c>
      <c r="B609" s="121" t="s">
        <v>311</v>
      </c>
      <c r="C609" s="1">
        <v>152499</v>
      </c>
      <c r="D609" s="37">
        <v>0</v>
      </c>
      <c r="E609" s="37">
        <v>0</v>
      </c>
      <c r="F609" s="37">
        <v>0</v>
      </c>
      <c r="G609" s="37">
        <v>0</v>
      </c>
      <c r="H609" s="37">
        <v>0</v>
      </c>
      <c r="I609" s="37">
        <v>0</v>
      </c>
      <c r="J609" s="37">
        <v>0</v>
      </c>
      <c r="K609" s="37">
        <v>0</v>
      </c>
      <c r="L609" s="37">
        <v>0</v>
      </c>
      <c r="M609" s="37">
        <v>0</v>
      </c>
      <c r="N609" s="1">
        <v>0</v>
      </c>
      <c r="O609" s="1">
        <v>0</v>
      </c>
      <c r="P609" s="1">
        <v>0</v>
      </c>
      <c r="Q609" s="1">
        <v>0</v>
      </c>
      <c r="R609" s="37">
        <v>0</v>
      </c>
      <c r="S609" s="37">
        <v>0</v>
      </c>
      <c r="T609" s="37">
        <v>0</v>
      </c>
      <c r="U609" s="37">
        <v>0</v>
      </c>
      <c r="V609" s="37">
        <v>0</v>
      </c>
      <c r="W609" s="37">
        <v>0</v>
      </c>
      <c r="X609" s="1" t="s">
        <v>262</v>
      </c>
      <c r="Y609" s="37">
        <v>0</v>
      </c>
      <c r="Z609" s="1">
        <v>152499</v>
      </c>
      <c r="AA609" s="37">
        <v>0</v>
      </c>
    </row>
    <row r="610" spans="1:27" s="111" customFormat="1" ht="50.25" customHeight="1">
      <c r="A610" s="95">
        <v>210</v>
      </c>
      <c r="B610" s="121" t="s">
        <v>316</v>
      </c>
      <c r="C610" s="1">
        <f t="shared" si="194"/>
        <v>5292961.6500000004</v>
      </c>
      <c r="D610" s="37">
        <v>0</v>
      </c>
      <c r="E610" s="37">
        <v>0</v>
      </c>
      <c r="F610" s="37">
        <v>0</v>
      </c>
      <c r="G610" s="37">
        <v>0</v>
      </c>
      <c r="H610" s="37">
        <v>0</v>
      </c>
      <c r="I610" s="37">
        <v>0</v>
      </c>
      <c r="J610" s="37">
        <v>0</v>
      </c>
      <c r="K610" s="37">
        <v>0</v>
      </c>
      <c r="L610" s="37">
        <v>0</v>
      </c>
      <c r="M610" s="37">
        <v>0</v>
      </c>
      <c r="N610" s="1">
        <v>0</v>
      </c>
      <c r="O610" s="1">
        <v>563</v>
      </c>
      <c r="P610" s="1">
        <v>5030521.6500000004</v>
      </c>
      <c r="Q610" s="1">
        <v>0</v>
      </c>
      <c r="R610" s="37">
        <v>0</v>
      </c>
      <c r="S610" s="37">
        <v>0</v>
      </c>
      <c r="T610" s="37">
        <v>0</v>
      </c>
      <c r="U610" s="37">
        <v>0</v>
      </c>
      <c r="V610" s="37">
        <v>0</v>
      </c>
      <c r="W610" s="37">
        <v>0</v>
      </c>
      <c r="X610" s="37">
        <v>0</v>
      </c>
      <c r="Y610" s="37">
        <v>0</v>
      </c>
      <c r="Z610" s="1">
        <v>262440</v>
      </c>
      <c r="AA610" s="37">
        <v>0</v>
      </c>
    </row>
    <row r="611" spans="1:27" s="111" customFormat="1" ht="93.75" customHeight="1">
      <c r="A611" s="95">
        <v>211</v>
      </c>
      <c r="B611" s="121" t="s">
        <v>317</v>
      </c>
      <c r="C611" s="1">
        <v>225321</v>
      </c>
      <c r="D611" s="1">
        <v>0</v>
      </c>
      <c r="E611" s="37">
        <v>0</v>
      </c>
      <c r="F611" s="37">
        <v>0</v>
      </c>
      <c r="G611" s="37">
        <v>0</v>
      </c>
      <c r="H611" s="37">
        <v>0</v>
      </c>
      <c r="I611" s="37">
        <v>0</v>
      </c>
      <c r="J611" s="37">
        <v>0</v>
      </c>
      <c r="K611" s="37">
        <v>0</v>
      </c>
      <c r="L611" s="37">
        <v>0</v>
      </c>
      <c r="M611" s="37">
        <v>0</v>
      </c>
      <c r="N611" s="1">
        <v>0</v>
      </c>
      <c r="O611" s="1">
        <v>0</v>
      </c>
      <c r="P611" s="1">
        <v>0</v>
      </c>
      <c r="Q611" s="1">
        <v>0</v>
      </c>
      <c r="R611" s="37">
        <v>0</v>
      </c>
      <c r="S611" s="37">
        <v>0</v>
      </c>
      <c r="T611" s="37">
        <v>0</v>
      </c>
      <c r="U611" s="37">
        <v>0</v>
      </c>
      <c r="V611" s="37">
        <v>0</v>
      </c>
      <c r="W611" s="37">
        <v>0</v>
      </c>
      <c r="X611" s="1" t="s">
        <v>262</v>
      </c>
      <c r="Y611" s="37">
        <v>0</v>
      </c>
      <c r="Z611" s="1">
        <v>225321</v>
      </c>
      <c r="AA611" s="37">
        <v>0</v>
      </c>
    </row>
    <row r="612" spans="1:27" s="75" customFormat="1" ht="40.5" customHeight="1">
      <c r="A612" s="186" t="s">
        <v>67</v>
      </c>
      <c r="B612" s="187"/>
      <c r="C612" s="80">
        <f>C613+C614</f>
        <v>7411714.3799999999</v>
      </c>
      <c r="D612" s="80">
        <f t="shared" ref="D612:Z612" si="197">D613+D614</f>
        <v>2493039.66</v>
      </c>
      <c r="E612" s="1">
        <v>0</v>
      </c>
      <c r="F612" s="1">
        <f t="shared" si="197"/>
        <v>2493039.66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f t="shared" si="197"/>
        <v>476.5</v>
      </c>
      <c r="P612" s="80">
        <f t="shared" si="197"/>
        <v>4432350.49</v>
      </c>
      <c r="Q612" s="1">
        <v>0</v>
      </c>
      <c r="R612" s="1">
        <v>0</v>
      </c>
      <c r="S612" s="1">
        <v>0</v>
      </c>
      <c r="T612" s="1">
        <v>0</v>
      </c>
      <c r="U612" s="1">
        <v>0</v>
      </c>
      <c r="V612" s="1">
        <v>0</v>
      </c>
      <c r="W612" s="1">
        <v>0</v>
      </c>
      <c r="X612" s="1">
        <v>0</v>
      </c>
      <c r="Y612" s="1">
        <v>0</v>
      </c>
      <c r="Z612" s="80">
        <f t="shared" si="197"/>
        <v>486324.23</v>
      </c>
      <c r="AA612" s="147"/>
    </row>
    <row r="613" spans="1:27" s="75" customFormat="1" ht="31.5" customHeight="1">
      <c r="A613" s="228">
        <v>212</v>
      </c>
      <c r="B613" s="223" t="s">
        <v>525</v>
      </c>
      <c r="C613" s="229">
        <f>D613+L613+N613+P613+R613+T613+V613+X613+Y613+Z613+AA613</f>
        <v>4723410.21</v>
      </c>
      <c r="D613" s="1">
        <f>E613+F613+G613+H613+I613+J613</f>
        <v>0</v>
      </c>
      <c r="E613" s="1">
        <v>0</v>
      </c>
      <c r="F613" s="1">
        <v>0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3">
        <v>476.5</v>
      </c>
      <c r="P613" s="63">
        <v>4432350.49</v>
      </c>
      <c r="Q613" s="1">
        <v>0</v>
      </c>
      <c r="R613" s="1">
        <v>0</v>
      </c>
      <c r="S613" s="1">
        <v>0</v>
      </c>
      <c r="T613" s="1">
        <v>0</v>
      </c>
      <c r="U613" s="1">
        <v>0</v>
      </c>
      <c r="V613" s="1">
        <v>0</v>
      </c>
      <c r="W613" s="1">
        <v>0</v>
      </c>
      <c r="X613" s="1">
        <v>0</v>
      </c>
      <c r="Y613" s="1">
        <v>0</v>
      </c>
      <c r="Z613" s="1">
        <v>291059.71999999997</v>
      </c>
      <c r="AA613" s="2">
        <v>0</v>
      </c>
    </row>
    <row r="614" spans="1:27" s="75" customFormat="1" ht="41.25" customHeight="1">
      <c r="A614" s="95">
        <v>213</v>
      </c>
      <c r="B614" s="124" t="s">
        <v>526</v>
      </c>
      <c r="C614" s="80">
        <f>D614+L614+N614+P614+R614+T614+V614+X614+Y614+Z614+AA614</f>
        <v>2688304.17</v>
      </c>
      <c r="D614" s="63">
        <f>SUM(E614:J614)</f>
        <v>2493039.66</v>
      </c>
      <c r="E614" s="1">
        <v>0</v>
      </c>
      <c r="F614" s="1">
        <v>2493039.66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  <c r="Q614" s="1">
        <v>0</v>
      </c>
      <c r="R614" s="1">
        <v>0</v>
      </c>
      <c r="S614" s="1">
        <v>0</v>
      </c>
      <c r="T614" s="1">
        <v>0</v>
      </c>
      <c r="U614" s="1">
        <v>0</v>
      </c>
      <c r="V614" s="1">
        <v>0</v>
      </c>
      <c r="W614" s="1">
        <v>0</v>
      </c>
      <c r="X614" s="1">
        <v>0</v>
      </c>
      <c r="Y614" s="1">
        <v>0</v>
      </c>
      <c r="Z614" s="1">
        <v>195264.51</v>
      </c>
      <c r="AA614" s="2">
        <v>0</v>
      </c>
    </row>
    <row r="615" spans="1:27" s="75" customFormat="1" ht="39" customHeight="1">
      <c r="A615" s="158" t="s">
        <v>116</v>
      </c>
      <c r="B615" s="160"/>
      <c r="C615" s="1">
        <f>SUM(C616:C619)</f>
        <v>15595538.050000001</v>
      </c>
      <c r="D615" s="1">
        <f t="shared" ref="D615:AA615" si="198">SUM(D616:D619)</f>
        <v>764831.78</v>
      </c>
      <c r="E615" s="1">
        <f t="shared" si="198"/>
        <v>764831.78</v>
      </c>
      <c r="F615" s="1">
        <f t="shared" si="198"/>
        <v>0</v>
      </c>
      <c r="G615" s="1">
        <f t="shared" si="198"/>
        <v>0</v>
      </c>
      <c r="H615" s="1">
        <f t="shared" si="198"/>
        <v>0</v>
      </c>
      <c r="I615" s="1">
        <f t="shared" si="198"/>
        <v>0</v>
      </c>
      <c r="J615" s="1">
        <f t="shared" si="198"/>
        <v>0</v>
      </c>
      <c r="K615" s="1">
        <f t="shared" si="198"/>
        <v>0</v>
      </c>
      <c r="L615" s="1">
        <f t="shared" si="198"/>
        <v>0</v>
      </c>
      <c r="M615" s="1">
        <f t="shared" si="198"/>
        <v>0</v>
      </c>
      <c r="N615" s="1">
        <f t="shared" si="198"/>
        <v>0</v>
      </c>
      <c r="O615" s="1">
        <f t="shared" si="198"/>
        <v>1978.75</v>
      </c>
      <c r="P615" s="1">
        <f t="shared" si="198"/>
        <v>14076438.149999999</v>
      </c>
      <c r="Q615" s="1">
        <f t="shared" si="198"/>
        <v>0</v>
      </c>
      <c r="R615" s="1">
        <f t="shared" si="198"/>
        <v>0</v>
      </c>
      <c r="S615" s="1">
        <f t="shared" si="198"/>
        <v>0</v>
      </c>
      <c r="T615" s="1">
        <f t="shared" si="198"/>
        <v>0</v>
      </c>
      <c r="U615" s="1">
        <f t="shared" si="198"/>
        <v>0</v>
      </c>
      <c r="V615" s="1">
        <f t="shared" si="198"/>
        <v>0</v>
      </c>
      <c r="W615" s="1">
        <f t="shared" si="198"/>
        <v>0</v>
      </c>
      <c r="X615" s="1">
        <f t="shared" si="198"/>
        <v>0</v>
      </c>
      <c r="Y615" s="1">
        <f t="shared" si="198"/>
        <v>0</v>
      </c>
      <c r="Z615" s="1">
        <f t="shared" si="198"/>
        <v>754268.12</v>
      </c>
      <c r="AA615" s="1">
        <f t="shared" si="198"/>
        <v>0</v>
      </c>
    </row>
    <row r="616" spans="1:27" s="75" customFormat="1" ht="34.5" customHeight="1">
      <c r="A616" s="76">
        <v>214</v>
      </c>
      <c r="B616" s="121" t="s">
        <v>121</v>
      </c>
      <c r="C616" s="1">
        <f>D616+L616+N616+P616+R616+T616+V616+X616+Y616+Z616+AA616</f>
        <v>5176709.83</v>
      </c>
      <c r="D616" s="1">
        <f>SUM(E616:J616)</f>
        <v>0</v>
      </c>
      <c r="E616" s="2">
        <v>0</v>
      </c>
      <c r="F616" s="2">
        <v>0</v>
      </c>
      <c r="G616" s="2">
        <v>0</v>
      </c>
      <c r="H616" s="2">
        <v>0</v>
      </c>
      <c r="I616" s="2">
        <v>0</v>
      </c>
      <c r="J616" s="2">
        <v>0</v>
      </c>
      <c r="K616" s="2">
        <v>0</v>
      </c>
      <c r="L616" s="2">
        <v>0</v>
      </c>
      <c r="M616" s="2">
        <v>0</v>
      </c>
      <c r="N616" s="2">
        <v>0</v>
      </c>
      <c r="O616" s="3">
        <v>650</v>
      </c>
      <c r="P616" s="4">
        <v>5054346.83</v>
      </c>
      <c r="Q616" s="3">
        <v>0</v>
      </c>
      <c r="R616" s="3">
        <v>0</v>
      </c>
      <c r="S616" s="3">
        <v>0</v>
      </c>
      <c r="T616" s="3">
        <v>0</v>
      </c>
      <c r="U616" s="3">
        <v>0</v>
      </c>
      <c r="V616" s="3">
        <v>0</v>
      </c>
      <c r="W616" s="3">
        <v>0</v>
      </c>
      <c r="X616" s="3">
        <v>0</v>
      </c>
      <c r="Y616" s="3">
        <v>0</v>
      </c>
      <c r="Z616" s="1">
        <v>122363</v>
      </c>
      <c r="AA616" s="2">
        <v>0</v>
      </c>
    </row>
    <row r="617" spans="1:27" s="75" customFormat="1" ht="35.25" customHeight="1">
      <c r="A617" s="76">
        <v>215</v>
      </c>
      <c r="B617" s="121" t="s">
        <v>122</v>
      </c>
      <c r="C617" s="1">
        <f t="shared" ref="C617:C621" si="199">D617+L617+N617+P617+R617+T617+V617+X617+Y617+Z617+AA617</f>
        <v>824736.36</v>
      </c>
      <c r="D617" s="1">
        <f t="shared" ref="D617:D621" si="200">SUM(E617:J617)</f>
        <v>764831.78</v>
      </c>
      <c r="E617" s="1">
        <v>764831.78</v>
      </c>
      <c r="F617" s="2">
        <v>0</v>
      </c>
      <c r="G617" s="2">
        <v>0</v>
      </c>
      <c r="H617" s="2">
        <v>0</v>
      </c>
      <c r="I617" s="2">
        <v>0</v>
      </c>
      <c r="J617" s="2">
        <v>0</v>
      </c>
      <c r="K617" s="2">
        <v>0</v>
      </c>
      <c r="L617" s="2">
        <v>0</v>
      </c>
      <c r="M617" s="2">
        <v>0</v>
      </c>
      <c r="N617" s="2">
        <v>0</v>
      </c>
      <c r="O617" s="3">
        <v>0</v>
      </c>
      <c r="P617" s="3">
        <v>0</v>
      </c>
      <c r="Q617" s="3">
        <v>0</v>
      </c>
      <c r="R617" s="3">
        <v>0</v>
      </c>
      <c r="S617" s="3">
        <v>0</v>
      </c>
      <c r="T617" s="3">
        <v>0</v>
      </c>
      <c r="U617" s="3">
        <v>0</v>
      </c>
      <c r="V617" s="3">
        <v>0</v>
      </c>
      <c r="W617" s="3">
        <v>0</v>
      </c>
      <c r="X617" s="3">
        <v>0</v>
      </c>
      <c r="Y617" s="3">
        <v>0</v>
      </c>
      <c r="Z617" s="1">
        <v>59904.58</v>
      </c>
      <c r="AA617" s="2">
        <v>0</v>
      </c>
    </row>
    <row r="618" spans="1:27" s="75" customFormat="1" ht="35.25" customHeight="1">
      <c r="A618" s="76">
        <v>216</v>
      </c>
      <c r="B618" s="121" t="s">
        <v>123</v>
      </c>
      <c r="C618" s="1">
        <f t="shared" si="199"/>
        <v>3716916.61</v>
      </c>
      <c r="D618" s="1">
        <f t="shared" si="200"/>
        <v>0</v>
      </c>
      <c r="E618" s="2">
        <v>0</v>
      </c>
      <c r="F618" s="2">
        <v>0</v>
      </c>
      <c r="G618" s="2">
        <v>0</v>
      </c>
      <c r="H618" s="2">
        <v>0</v>
      </c>
      <c r="I618" s="2">
        <v>0</v>
      </c>
      <c r="J618" s="2">
        <v>0</v>
      </c>
      <c r="K618" s="2">
        <v>0</v>
      </c>
      <c r="L618" s="2">
        <v>0</v>
      </c>
      <c r="M618" s="2">
        <v>0</v>
      </c>
      <c r="N618" s="2">
        <v>0</v>
      </c>
      <c r="O618" s="3">
        <v>640</v>
      </c>
      <c r="P618" s="1">
        <v>3446939.01</v>
      </c>
      <c r="Q618" s="3">
        <v>0</v>
      </c>
      <c r="R618" s="3">
        <v>0</v>
      </c>
      <c r="S618" s="3">
        <v>0</v>
      </c>
      <c r="T618" s="3">
        <v>0</v>
      </c>
      <c r="U618" s="3">
        <v>0</v>
      </c>
      <c r="V618" s="3">
        <v>0</v>
      </c>
      <c r="W618" s="3">
        <v>0</v>
      </c>
      <c r="X618" s="3">
        <v>0</v>
      </c>
      <c r="Y618" s="3">
        <v>0</v>
      </c>
      <c r="Z618" s="1">
        <v>269977.59999999998</v>
      </c>
      <c r="AA618" s="2">
        <v>0</v>
      </c>
    </row>
    <row r="619" spans="1:27" s="75" customFormat="1" ht="33" customHeight="1">
      <c r="A619" s="76">
        <v>217</v>
      </c>
      <c r="B619" s="121" t="s">
        <v>124</v>
      </c>
      <c r="C619" s="1">
        <f t="shared" si="199"/>
        <v>5877175.25</v>
      </c>
      <c r="D619" s="1">
        <f t="shared" si="200"/>
        <v>0</v>
      </c>
      <c r="E619" s="2">
        <v>0</v>
      </c>
      <c r="F619" s="2">
        <v>0</v>
      </c>
      <c r="G619" s="2">
        <v>0</v>
      </c>
      <c r="H619" s="2">
        <v>0</v>
      </c>
      <c r="I619" s="2">
        <v>0</v>
      </c>
      <c r="J619" s="2">
        <v>0</v>
      </c>
      <c r="K619" s="2">
        <v>0</v>
      </c>
      <c r="L619" s="2">
        <v>0</v>
      </c>
      <c r="M619" s="2">
        <v>0</v>
      </c>
      <c r="N619" s="2">
        <v>0</v>
      </c>
      <c r="O619" s="3">
        <v>688.75</v>
      </c>
      <c r="P619" s="1">
        <v>5575152.3099999996</v>
      </c>
      <c r="Q619" s="3">
        <v>0</v>
      </c>
      <c r="R619" s="3">
        <v>0</v>
      </c>
      <c r="S619" s="3">
        <v>0</v>
      </c>
      <c r="T619" s="3">
        <v>0</v>
      </c>
      <c r="U619" s="3">
        <v>0</v>
      </c>
      <c r="V619" s="3">
        <v>0</v>
      </c>
      <c r="W619" s="3">
        <v>0</v>
      </c>
      <c r="X619" s="3">
        <v>0</v>
      </c>
      <c r="Y619" s="3">
        <v>0</v>
      </c>
      <c r="Z619" s="1">
        <v>302022.94</v>
      </c>
      <c r="AA619" s="2">
        <v>0</v>
      </c>
    </row>
    <row r="620" spans="1:27" s="75" customFormat="1" ht="37.5" customHeight="1">
      <c r="A620" s="158" t="s">
        <v>271</v>
      </c>
      <c r="B620" s="160"/>
      <c r="C620" s="1">
        <f>SUM(C621)</f>
        <v>1298765.6000000001</v>
      </c>
      <c r="D620" s="1">
        <f t="shared" ref="D620:AA620" si="201">SUM(D621)</f>
        <v>1204429.98</v>
      </c>
      <c r="E620" s="1">
        <f t="shared" si="201"/>
        <v>0</v>
      </c>
      <c r="F620" s="1">
        <f t="shared" si="201"/>
        <v>1204429.98</v>
      </c>
      <c r="G620" s="1">
        <f t="shared" si="201"/>
        <v>0</v>
      </c>
      <c r="H620" s="1">
        <f t="shared" si="201"/>
        <v>0</v>
      </c>
      <c r="I620" s="1">
        <f t="shared" si="201"/>
        <v>0</v>
      </c>
      <c r="J620" s="1">
        <f t="shared" si="201"/>
        <v>0</v>
      </c>
      <c r="K620" s="1">
        <f t="shared" si="201"/>
        <v>0</v>
      </c>
      <c r="L620" s="1">
        <f t="shared" si="201"/>
        <v>0</v>
      </c>
      <c r="M620" s="1">
        <f t="shared" si="201"/>
        <v>0</v>
      </c>
      <c r="N620" s="1">
        <f t="shared" si="201"/>
        <v>0</v>
      </c>
      <c r="O620" s="1">
        <f t="shared" si="201"/>
        <v>0</v>
      </c>
      <c r="P620" s="1">
        <f t="shared" si="201"/>
        <v>0</v>
      </c>
      <c r="Q620" s="1">
        <f t="shared" si="201"/>
        <v>0</v>
      </c>
      <c r="R620" s="1">
        <f t="shared" si="201"/>
        <v>0</v>
      </c>
      <c r="S620" s="1">
        <f t="shared" si="201"/>
        <v>0</v>
      </c>
      <c r="T620" s="1">
        <f t="shared" si="201"/>
        <v>0</v>
      </c>
      <c r="U620" s="1">
        <f t="shared" si="201"/>
        <v>0</v>
      </c>
      <c r="V620" s="1">
        <f t="shared" si="201"/>
        <v>0</v>
      </c>
      <c r="W620" s="1">
        <f t="shared" si="201"/>
        <v>0</v>
      </c>
      <c r="X620" s="1">
        <f t="shared" si="201"/>
        <v>0</v>
      </c>
      <c r="Y620" s="1">
        <f t="shared" si="201"/>
        <v>0</v>
      </c>
      <c r="Z620" s="1">
        <f t="shared" si="201"/>
        <v>94335.62</v>
      </c>
      <c r="AA620" s="1">
        <f t="shared" si="201"/>
        <v>0</v>
      </c>
    </row>
    <row r="621" spans="1:27" s="75" customFormat="1" ht="29.25" customHeight="1">
      <c r="A621" s="76">
        <v>218</v>
      </c>
      <c r="B621" s="121" t="s">
        <v>278</v>
      </c>
      <c r="C621" s="1">
        <f t="shared" si="199"/>
        <v>1298765.6000000001</v>
      </c>
      <c r="D621" s="1">
        <f t="shared" si="200"/>
        <v>1204429.98</v>
      </c>
      <c r="E621" s="2">
        <v>0</v>
      </c>
      <c r="F621" s="1">
        <v>1204429.98</v>
      </c>
      <c r="G621" s="2">
        <v>0</v>
      </c>
      <c r="H621" s="2">
        <v>0</v>
      </c>
      <c r="I621" s="2">
        <v>0</v>
      </c>
      <c r="J621" s="2">
        <v>0</v>
      </c>
      <c r="K621" s="2">
        <v>0</v>
      </c>
      <c r="L621" s="2">
        <v>0</v>
      </c>
      <c r="M621" s="2">
        <v>0</v>
      </c>
      <c r="N621" s="2">
        <v>0</v>
      </c>
      <c r="O621" s="2">
        <v>0</v>
      </c>
      <c r="P621" s="2">
        <v>0</v>
      </c>
      <c r="Q621" s="2">
        <v>0</v>
      </c>
      <c r="R621" s="2">
        <v>0</v>
      </c>
      <c r="S621" s="2">
        <v>0</v>
      </c>
      <c r="T621" s="2">
        <v>0</v>
      </c>
      <c r="U621" s="2">
        <v>0</v>
      </c>
      <c r="V621" s="2">
        <v>0</v>
      </c>
      <c r="W621" s="2">
        <v>0</v>
      </c>
      <c r="X621" s="2">
        <v>0</v>
      </c>
      <c r="Y621" s="2">
        <v>0</v>
      </c>
      <c r="Z621" s="1">
        <v>94335.62</v>
      </c>
      <c r="AA621" s="2">
        <v>0</v>
      </c>
    </row>
    <row r="622" spans="1:27" s="75" customFormat="1" ht="32.25" customHeight="1">
      <c r="A622" s="158" t="s">
        <v>76</v>
      </c>
      <c r="B622" s="160"/>
      <c r="C622" s="1">
        <f>SUM(C623:C630)</f>
        <v>50976925.57</v>
      </c>
      <c r="D622" s="1">
        <f t="shared" ref="D622:AA622" si="202">SUM(D623:D630)</f>
        <v>2094617.87</v>
      </c>
      <c r="E622" s="1">
        <f t="shared" si="202"/>
        <v>0</v>
      </c>
      <c r="F622" s="1">
        <f t="shared" si="202"/>
        <v>0</v>
      </c>
      <c r="G622" s="1">
        <f t="shared" si="202"/>
        <v>0</v>
      </c>
      <c r="H622" s="1">
        <f t="shared" si="202"/>
        <v>0</v>
      </c>
      <c r="I622" s="1">
        <f t="shared" si="202"/>
        <v>0</v>
      </c>
      <c r="J622" s="1">
        <f t="shared" si="202"/>
        <v>2094617.87</v>
      </c>
      <c r="K622" s="1">
        <f t="shared" si="202"/>
        <v>0</v>
      </c>
      <c r="L622" s="1">
        <f t="shared" si="202"/>
        <v>0</v>
      </c>
      <c r="M622" s="1">
        <f t="shared" si="202"/>
        <v>0</v>
      </c>
      <c r="N622" s="1">
        <f t="shared" si="202"/>
        <v>0</v>
      </c>
      <c r="O622" s="1">
        <f t="shared" si="202"/>
        <v>4634.54</v>
      </c>
      <c r="P622" s="1">
        <f t="shared" si="202"/>
        <v>45179607.460000001</v>
      </c>
      <c r="Q622" s="1">
        <f t="shared" si="202"/>
        <v>0</v>
      </c>
      <c r="R622" s="1">
        <f t="shared" si="202"/>
        <v>0</v>
      </c>
      <c r="S622" s="1">
        <f t="shared" si="202"/>
        <v>0</v>
      </c>
      <c r="T622" s="1">
        <f t="shared" si="202"/>
        <v>0</v>
      </c>
      <c r="U622" s="1">
        <f t="shared" si="202"/>
        <v>0</v>
      </c>
      <c r="V622" s="1">
        <f t="shared" si="202"/>
        <v>0</v>
      </c>
      <c r="W622" s="1">
        <f t="shared" si="202"/>
        <v>0</v>
      </c>
      <c r="X622" s="1">
        <f t="shared" si="202"/>
        <v>0</v>
      </c>
      <c r="Y622" s="1">
        <f t="shared" si="202"/>
        <v>0</v>
      </c>
      <c r="Z622" s="1">
        <f t="shared" si="202"/>
        <v>3702700.24</v>
      </c>
      <c r="AA622" s="1">
        <f t="shared" si="202"/>
        <v>0</v>
      </c>
    </row>
    <row r="623" spans="1:27" s="75" customFormat="1" ht="34.5" customHeight="1">
      <c r="A623" s="76">
        <v>219</v>
      </c>
      <c r="B623" s="121" t="s">
        <v>527</v>
      </c>
      <c r="C623" s="80">
        <f>D623+L623+N623+P623+R623+T623+V623+X623+Y623+Z623+AA623</f>
        <v>9443095.209999999</v>
      </c>
      <c r="D623" s="1">
        <f>E623+F623+G623+H623+I623+J623</f>
        <v>0</v>
      </c>
      <c r="E623" s="1">
        <v>0</v>
      </c>
      <c r="F623" s="1">
        <v>0</v>
      </c>
      <c r="G623" s="1">
        <v>0</v>
      </c>
      <c r="H623" s="1">
        <v>0</v>
      </c>
      <c r="I623" s="1">
        <v>0</v>
      </c>
      <c r="J623" s="1">
        <v>0</v>
      </c>
      <c r="K623" s="1">
        <v>0</v>
      </c>
      <c r="L623" s="1">
        <v>0</v>
      </c>
      <c r="M623" s="1">
        <v>0</v>
      </c>
      <c r="N623" s="1">
        <v>0</v>
      </c>
      <c r="O623" s="1">
        <v>1030</v>
      </c>
      <c r="P623" s="1">
        <v>8757197.6099999994</v>
      </c>
      <c r="Q623" s="1">
        <v>0</v>
      </c>
      <c r="R623" s="1">
        <v>0</v>
      </c>
      <c r="S623" s="1">
        <v>0</v>
      </c>
      <c r="T623" s="1">
        <v>0</v>
      </c>
      <c r="U623" s="1">
        <v>0</v>
      </c>
      <c r="V623" s="1">
        <v>0</v>
      </c>
      <c r="W623" s="1">
        <v>0</v>
      </c>
      <c r="X623" s="1">
        <v>0</v>
      </c>
      <c r="Y623" s="1">
        <v>0</v>
      </c>
      <c r="Z623" s="1">
        <v>685897.6</v>
      </c>
      <c r="AA623" s="2">
        <v>0</v>
      </c>
    </row>
    <row r="624" spans="1:27" s="75" customFormat="1" ht="35.25" customHeight="1">
      <c r="A624" s="76">
        <v>220</v>
      </c>
      <c r="B624" s="121" t="s">
        <v>93</v>
      </c>
      <c r="C624" s="80">
        <f>D624+L624+N624+P624+R624+T624+V624+X624+Y624+Z624+AA624</f>
        <v>6164112.6200000001</v>
      </c>
      <c r="D624" s="1">
        <f>E624+F624+G624+H624+I624+J624</f>
        <v>0</v>
      </c>
      <c r="E624" s="1">
        <v>0</v>
      </c>
      <c r="F624" s="1">
        <v>0</v>
      </c>
      <c r="G624" s="1">
        <v>0</v>
      </c>
      <c r="H624" s="1">
        <v>0</v>
      </c>
      <c r="I624" s="1">
        <v>0</v>
      </c>
      <c r="J624" s="1">
        <v>0</v>
      </c>
      <c r="K624" s="1">
        <v>0</v>
      </c>
      <c r="L624" s="1">
        <v>0</v>
      </c>
      <c r="M624" s="1">
        <v>0</v>
      </c>
      <c r="N624" s="1">
        <v>0</v>
      </c>
      <c r="O624" s="1">
        <v>614.54</v>
      </c>
      <c r="P624" s="1">
        <v>5716383.3600000003</v>
      </c>
      <c r="Q624" s="1">
        <v>0</v>
      </c>
      <c r="R624" s="1">
        <v>0</v>
      </c>
      <c r="S624" s="1">
        <v>0</v>
      </c>
      <c r="T624" s="1">
        <v>0</v>
      </c>
      <c r="U624" s="1">
        <v>0</v>
      </c>
      <c r="V624" s="1">
        <v>0</v>
      </c>
      <c r="W624" s="1">
        <v>0</v>
      </c>
      <c r="X624" s="1">
        <v>0</v>
      </c>
      <c r="Y624" s="1">
        <v>0</v>
      </c>
      <c r="Z624" s="1">
        <v>447729.26</v>
      </c>
      <c r="AA624" s="2">
        <v>0</v>
      </c>
    </row>
    <row r="625" spans="1:27" s="75" customFormat="1" ht="27" customHeight="1">
      <c r="A625" s="76">
        <v>221</v>
      </c>
      <c r="B625" s="121" t="s">
        <v>87</v>
      </c>
      <c r="C625" s="80">
        <f t="shared" ref="C625:C626" si="203">D625+L625+N625+P625+R625+T625+V625+X625+Y625+Z625+AA625</f>
        <v>3071323.73</v>
      </c>
      <c r="D625" s="1">
        <f t="shared" ref="D625:D626" si="204">E625+F625+G625+H625+I625+J625</f>
        <v>0</v>
      </c>
      <c r="E625" s="1">
        <v>0</v>
      </c>
      <c r="F625" s="1">
        <v>0</v>
      </c>
      <c r="G625" s="1">
        <v>0</v>
      </c>
      <c r="H625" s="1">
        <v>0</v>
      </c>
      <c r="I625" s="1">
        <v>0</v>
      </c>
      <c r="J625" s="1">
        <v>0</v>
      </c>
      <c r="K625" s="1">
        <v>0</v>
      </c>
      <c r="L625" s="1">
        <v>0</v>
      </c>
      <c r="M625" s="1">
        <v>0</v>
      </c>
      <c r="N625" s="1">
        <v>0</v>
      </c>
      <c r="O625" s="1">
        <v>306.2</v>
      </c>
      <c r="P625" s="1">
        <v>2848238.66</v>
      </c>
      <c r="Q625" s="1">
        <v>0</v>
      </c>
      <c r="R625" s="1">
        <v>0</v>
      </c>
      <c r="S625" s="1">
        <v>0</v>
      </c>
      <c r="T625" s="1">
        <v>0</v>
      </c>
      <c r="U625" s="1">
        <v>0</v>
      </c>
      <c r="V625" s="1">
        <v>0</v>
      </c>
      <c r="W625" s="1">
        <v>0</v>
      </c>
      <c r="X625" s="1">
        <v>0</v>
      </c>
      <c r="Y625" s="1">
        <v>0</v>
      </c>
      <c r="Z625" s="1">
        <v>223085.07</v>
      </c>
      <c r="AA625" s="2">
        <v>0</v>
      </c>
    </row>
    <row r="626" spans="1:27" s="75" customFormat="1" ht="44.25" customHeight="1">
      <c r="A626" s="220">
        <v>222</v>
      </c>
      <c r="B626" s="221" t="s">
        <v>88</v>
      </c>
      <c r="C626" s="227">
        <f t="shared" si="203"/>
        <v>9128115.3200000003</v>
      </c>
      <c r="D626" s="1">
        <f t="shared" si="204"/>
        <v>0</v>
      </c>
      <c r="E626" s="1">
        <v>0</v>
      </c>
      <c r="F626" s="1">
        <v>0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0</v>
      </c>
      <c r="N626" s="1">
        <v>0</v>
      </c>
      <c r="O626" s="1">
        <v>434.8</v>
      </c>
      <c r="P626" s="1">
        <v>8465096.2300000004</v>
      </c>
      <c r="Q626" s="1">
        <v>0</v>
      </c>
      <c r="R626" s="1">
        <v>0</v>
      </c>
      <c r="S626" s="1">
        <v>0</v>
      </c>
      <c r="T626" s="1">
        <v>0</v>
      </c>
      <c r="U626" s="1">
        <v>0</v>
      </c>
      <c r="V626" s="1">
        <v>0</v>
      </c>
      <c r="W626" s="1">
        <v>0</v>
      </c>
      <c r="X626" s="1">
        <v>0</v>
      </c>
      <c r="Y626" s="1">
        <v>0</v>
      </c>
      <c r="Z626" s="1">
        <v>663019.09</v>
      </c>
      <c r="AA626" s="2">
        <v>0</v>
      </c>
    </row>
    <row r="627" spans="1:27" s="75" customFormat="1" ht="27.75" customHeight="1">
      <c r="A627" s="76">
        <v>223</v>
      </c>
      <c r="B627" s="121" t="s">
        <v>89</v>
      </c>
      <c r="C627" s="80">
        <f t="shared" ref="C627:C670" si="205">D627+L627+N627+P627+R627+T627+V627+X627+Y627+Z627+AA627</f>
        <v>2258676.4500000002</v>
      </c>
      <c r="D627" s="1">
        <f t="shared" ref="D627:D670" si="206">E627+F627+G627+H627+I627+J627</f>
        <v>2094617.87</v>
      </c>
      <c r="E627" s="1">
        <v>0</v>
      </c>
      <c r="F627" s="1">
        <v>0</v>
      </c>
      <c r="G627" s="1">
        <v>0</v>
      </c>
      <c r="H627" s="1">
        <v>0</v>
      </c>
      <c r="I627" s="1">
        <v>0</v>
      </c>
      <c r="J627" s="1">
        <v>2094617.87</v>
      </c>
      <c r="K627" s="1">
        <v>0</v>
      </c>
      <c r="L627" s="1">
        <v>0</v>
      </c>
      <c r="M627" s="1">
        <v>0</v>
      </c>
      <c r="N627" s="1">
        <v>0</v>
      </c>
      <c r="O627" s="1">
        <v>0</v>
      </c>
      <c r="P627" s="1">
        <v>0</v>
      </c>
      <c r="Q627" s="1">
        <v>0</v>
      </c>
      <c r="R627" s="1">
        <v>0</v>
      </c>
      <c r="S627" s="1">
        <v>0</v>
      </c>
      <c r="T627" s="1">
        <v>0</v>
      </c>
      <c r="U627" s="1">
        <v>0</v>
      </c>
      <c r="V627" s="1">
        <v>0</v>
      </c>
      <c r="W627" s="1">
        <v>0</v>
      </c>
      <c r="X627" s="1">
        <v>0</v>
      </c>
      <c r="Y627" s="1">
        <v>0</v>
      </c>
      <c r="Z627" s="1">
        <v>164058.57999999999</v>
      </c>
      <c r="AA627" s="2">
        <v>0</v>
      </c>
    </row>
    <row r="628" spans="1:27" s="75" customFormat="1" ht="31.5" customHeight="1">
      <c r="A628" s="76">
        <v>224</v>
      </c>
      <c r="B628" s="121" t="s">
        <v>528</v>
      </c>
      <c r="C628" s="80">
        <f t="shared" si="205"/>
        <v>11033494.779999999</v>
      </c>
      <c r="D628" s="1">
        <f t="shared" si="206"/>
        <v>0</v>
      </c>
      <c r="E628" s="1">
        <v>0</v>
      </c>
      <c r="F628" s="1">
        <v>0</v>
      </c>
      <c r="G628" s="1">
        <v>0</v>
      </c>
      <c r="H628" s="1">
        <v>0</v>
      </c>
      <c r="I628" s="1">
        <v>0</v>
      </c>
      <c r="J628" s="1">
        <v>0</v>
      </c>
      <c r="K628" s="1">
        <v>0</v>
      </c>
      <c r="L628" s="1">
        <v>0</v>
      </c>
      <c r="M628" s="1">
        <v>0</v>
      </c>
      <c r="N628" s="1">
        <v>0</v>
      </c>
      <c r="O628" s="1">
        <v>1100</v>
      </c>
      <c r="P628" s="1">
        <v>10232078.779999999</v>
      </c>
      <c r="Q628" s="1">
        <v>0</v>
      </c>
      <c r="R628" s="1">
        <v>0</v>
      </c>
      <c r="S628" s="1">
        <v>0</v>
      </c>
      <c r="T628" s="1">
        <v>0</v>
      </c>
      <c r="U628" s="1">
        <v>0</v>
      </c>
      <c r="V628" s="1">
        <v>0</v>
      </c>
      <c r="W628" s="1">
        <v>0</v>
      </c>
      <c r="X628" s="1">
        <v>0</v>
      </c>
      <c r="Y628" s="1">
        <v>0</v>
      </c>
      <c r="Z628" s="1">
        <v>801416</v>
      </c>
      <c r="AA628" s="2">
        <v>0</v>
      </c>
    </row>
    <row r="629" spans="1:27" s="75" customFormat="1" ht="30" customHeight="1">
      <c r="A629" s="76">
        <v>225</v>
      </c>
      <c r="B629" s="121" t="s">
        <v>529</v>
      </c>
      <c r="C629" s="80">
        <f t="shared" si="205"/>
        <v>7613111.4000000004</v>
      </c>
      <c r="D629" s="1">
        <f t="shared" si="206"/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759</v>
      </c>
      <c r="P629" s="1">
        <v>7060134.3600000003</v>
      </c>
      <c r="Q629" s="1">
        <v>0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  <c r="X629" s="1">
        <v>0</v>
      </c>
      <c r="Y629" s="1">
        <v>0</v>
      </c>
      <c r="Z629" s="1">
        <v>552977.04</v>
      </c>
      <c r="AA629" s="2">
        <v>0</v>
      </c>
    </row>
    <row r="630" spans="1:27" s="75" customFormat="1" ht="30" customHeight="1">
      <c r="A630" s="76">
        <v>226</v>
      </c>
      <c r="B630" s="121" t="s">
        <v>83</v>
      </c>
      <c r="C630" s="80">
        <f t="shared" si="205"/>
        <v>2264996.06</v>
      </c>
      <c r="D630" s="1">
        <f t="shared" si="206"/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390</v>
      </c>
      <c r="P630" s="1">
        <v>2100478.46</v>
      </c>
      <c r="Q630" s="1">
        <v>0</v>
      </c>
      <c r="R630" s="1">
        <v>0</v>
      </c>
      <c r="S630" s="1">
        <v>0</v>
      </c>
      <c r="T630" s="1">
        <v>0</v>
      </c>
      <c r="U630" s="1">
        <v>0</v>
      </c>
      <c r="V630" s="1">
        <v>0</v>
      </c>
      <c r="W630" s="1">
        <v>0</v>
      </c>
      <c r="X630" s="1">
        <v>0</v>
      </c>
      <c r="Y630" s="1">
        <v>0</v>
      </c>
      <c r="Z630" s="1">
        <v>164517.6</v>
      </c>
      <c r="AA630" s="2">
        <v>0</v>
      </c>
    </row>
    <row r="631" spans="1:27" s="75" customFormat="1" ht="31.5" customHeight="1">
      <c r="A631" s="158" t="s">
        <v>270</v>
      </c>
      <c r="B631" s="160"/>
      <c r="C631" s="80">
        <f t="shared" ref="C631:AA631" si="207">SUM(C632:C635)</f>
        <v>16842908.759999998</v>
      </c>
      <c r="D631" s="1">
        <f t="shared" si="207"/>
        <v>0</v>
      </c>
      <c r="E631" s="1">
        <f t="shared" si="207"/>
        <v>0</v>
      </c>
      <c r="F631" s="1">
        <f t="shared" si="207"/>
        <v>0</v>
      </c>
      <c r="G631" s="1">
        <f t="shared" si="207"/>
        <v>0</v>
      </c>
      <c r="H631" s="1">
        <f t="shared" si="207"/>
        <v>0</v>
      </c>
      <c r="I631" s="1">
        <f t="shared" si="207"/>
        <v>0</v>
      </c>
      <c r="J631" s="1">
        <f t="shared" si="207"/>
        <v>0</v>
      </c>
      <c r="K631" s="1">
        <f t="shared" si="207"/>
        <v>0</v>
      </c>
      <c r="L631" s="1">
        <f t="shared" si="207"/>
        <v>0</v>
      </c>
      <c r="M631" s="1">
        <f t="shared" si="207"/>
        <v>0</v>
      </c>
      <c r="N631" s="1">
        <f t="shared" si="207"/>
        <v>0</v>
      </c>
      <c r="O631" s="1">
        <f t="shared" si="207"/>
        <v>3191.3</v>
      </c>
      <c r="P631" s="80">
        <f t="shared" si="207"/>
        <v>15768293.84</v>
      </c>
      <c r="Q631" s="1">
        <f t="shared" si="207"/>
        <v>0</v>
      </c>
      <c r="R631" s="1">
        <f t="shared" si="207"/>
        <v>0</v>
      </c>
      <c r="S631" s="1">
        <f t="shared" si="207"/>
        <v>0</v>
      </c>
      <c r="T631" s="1">
        <f t="shared" si="207"/>
        <v>0</v>
      </c>
      <c r="U631" s="1">
        <f t="shared" si="207"/>
        <v>0</v>
      </c>
      <c r="V631" s="1">
        <f t="shared" si="207"/>
        <v>0</v>
      </c>
      <c r="W631" s="1">
        <f t="shared" si="207"/>
        <v>0</v>
      </c>
      <c r="X631" s="1">
        <f t="shared" si="207"/>
        <v>0</v>
      </c>
      <c r="Y631" s="1">
        <f t="shared" si="207"/>
        <v>0</v>
      </c>
      <c r="Z631" s="80">
        <f t="shared" si="207"/>
        <v>1074614.92</v>
      </c>
      <c r="AA631" s="1">
        <f t="shared" si="207"/>
        <v>0</v>
      </c>
    </row>
    <row r="632" spans="1:27" s="75" customFormat="1" ht="37.5" customHeight="1">
      <c r="A632" s="76">
        <v>227</v>
      </c>
      <c r="B632" s="115" t="s">
        <v>785</v>
      </c>
      <c r="C632" s="1">
        <f t="shared" ref="C632:C635" si="208">E632+F632+G632+H632+I632+J632+L632+N632+P632+R632+T632+V632+X632+Y632+Z632+AA632</f>
        <v>2223596.0300000003</v>
      </c>
      <c r="D632" s="1">
        <f t="shared" ref="D632:D635" si="209">E632+F632+G632+H632+I632+J632</f>
        <v>0</v>
      </c>
      <c r="E632" s="1">
        <v>0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0</v>
      </c>
      <c r="N632" s="1">
        <v>0</v>
      </c>
      <c r="O632" s="1">
        <v>543.16</v>
      </c>
      <c r="P632" s="1">
        <v>2147567.41</v>
      </c>
      <c r="Q632" s="1">
        <v>0</v>
      </c>
      <c r="R632" s="1">
        <v>0</v>
      </c>
      <c r="S632" s="1">
        <v>0</v>
      </c>
      <c r="T632" s="1">
        <v>0</v>
      </c>
      <c r="U632" s="1">
        <v>0</v>
      </c>
      <c r="V632" s="1">
        <v>0</v>
      </c>
      <c r="W632" s="1">
        <v>0</v>
      </c>
      <c r="X632" s="1">
        <v>0</v>
      </c>
      <c r="Y632" s="1">
        <v>0</v>
      </c>
      <c r="Z632" s="1">
        <v>76028.62</v>
      </c>
      <c r="AA632" s="1">
        <v>0</v>
      </c>
    </row>
    <row r="633" spans="1:27" s="75" customFormat="1" ht="33" customHeight="1">
      <c r="A633" s="76">
        <v>228</v>
      </c>
      <c r="B633" s="115" t="s">
        <v>786</v>
      </c>
      <c r="C633" s="1">
        <f t="shared" si="208"/>
        <v>1842411.8900000001</v>
      </c>
      <c r="D633" s="1">
        <f t="shared" si="209"/>
        <v>0</v>
      </c>
      <c r="E633" s="1">
        <v>0</v>
      </c>
      <c r="F633" s="1">
        <v>0</v>
      </c>
      <c r="G633" s="1">
        <v>0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448.14</v>
      </c>
      <c r="P633" s="1">
        <v>1771873.59</v>
      </c>
      <c r="Q633" s="1">
        <v>0</v>
      </c>
      <c r="R633" s="1">
        <v>0</v>
      </c>
      <c r="S633" s="1">
        <v>0</v>
      </c>
      <c r="T633" s="1">
        <v>0</v>
      </c>
      <c r="U633" s="1">
        <v>0</v>
      </c>
      <c r="V633" s="1">
        <v>0</v>
      </c>
      <c r="W633" s="1">
        <v>0</v>
      </c>
      <c r="X633" s="1">
        <v>0</v>
      </c>
      <c r="Y633" s="1">
        <v>0</v>
      </c>
      <c r="Z633" s="1">
        <v>70538.3</v>
      </c>
      <c r="AA633" s="1">
        <v>0</v>
      </c>
    </row>
    <row r="634" spans="1:27" s="75" customFormat="1" ht="34.5" customHeight="1">
      <c r="A634" s="76">
        <v>229</v>
      </c>
      <c r="B634" s="36" t="s">
        <v>885</v>
      </c>
      <c r="C634" s="1">
        <f t="shared" si="208"/>
        <v>8130755.0800000001</v>
      </c>
      <c r="D634" s="1">
        <f t="shared" si="209"/>
        <v>0</v>
      </c>
      <c r="E634" s="1">
        <v>0</v>
      </c>
      <c r="F634" s="1">
        <v>0</v>
      </c>
      <c r="G634" s="1">
        <v>0</v>
      </c>
      <c r="H634" s="1">
        <v>0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1400</v>
      </c>
      <c r="P634" s="1">
        <v>7540179.0800000001</v>
      </c>
      <c r="Q634" s="1">
        <v>0</v>
      </c>
      <c r="R634" s="1">
        <v>0</v>
      </c>
      <c r="S634" s="1">
        <v>0</v>
      </c>
      <c r="T634" s="1">
        <v>0</v>
      </c>
      <c r="U634" s="1">
        <v>0</v>
      </c>
      <c r="V634" s="1">
        <v>0</v>
      </c>
      <c r="W634" s="1">
        <v>0</v>
      </c>
      <c r="X634" s="1">
        <v>0</v>
      </c>
      <c r="Y634" s="1">
        <v>0</v>
      </c>
      <c r="Z634" s="1">
        <v>590576</v>
      </c>
      <c r="AA634" s="1">
        <v>0</v>
      </c>
    </row>
    <row r="635" spans="1:27" s="75" customFormat="1" ht="42.75" customHeight="1">
      <c r="A635" s="76">
        <v>230</v>
      </c>
      <c r="B635" s="36" t="s">
        <v>886</v>
      </c>
      <c r="C635" s="1">
        <f t="shared" si="208"/>
        <v>4646145.76</v>
      </c>
      <c r="D635" s="1">
        <f t="shared" si="209"/>
        <v>0</v>
      </c>
      <c r="E635" s="1">
        <v>0</v>
      </c>
      <c r="F635" s="1">
        <v>0</v>
      </c>
      <c r="G635" s="1">
        <v>0</v>
      </c>
      <c r="H635" s="1">
        <v>0</v>
      </c>
      <c r="I635" s="1">
        <v>0</v>
      </c>
      <c r="J635" s="1">
        <v>0</v>
      </c>
      <c r="K635" s="1">
        <v>0</v>
      </c>
      <c r="L635" s="1">
        <v>0</v>
      </c>
      <c r="M635" s="1">
        <v>0</v>
      </c>
      <c r="N635" s="1">
        <v>0</v>
      </c>
      <c r="O635" s="1">
        <v>800</v>
      </c>
      <c r="P635" s="1">
        <v>4308673.76</v>
      </c>
      <c r="Q635" s="1">
        <v>0</v>
      </c>
      <c r="R635" s="1">
        <v>0</v>
      </c>
      <c r="S635" s="1">
        <v>0</v>
      </c>
      <c r="T635" s="1">
        <v>0</v>
      </c>
      <c r="U635" s="1">
        <v>0</v>
      </c>
      <c r="V635" s="1">
        <v>0</v>
      </c>
      <c r="W635" s="1">
        <v>0</v>
      </c>
      <c r="X635" s="1">
        <v>0</v>
      </c>
      <c r="Y635" s="1">
        <v>0</v>
      </c>
      <c r="Z635" s="1">
        <v>337472</v>
      </c>
      <c r="AA635" s="1">
        <v>0</v>
      </c>
    </row>
    <row r="636" spans="1:27" s="75" customFormat="1" ht="36.75" customHeight="1">
      <c r="A636" s="158" t="s">
        <v>161</v>
      </c>
      <c r="B636" s="160"/>
      <c r="C636" s="80">
        <f>SUM(C637:C660)</f>
        <v>94801467.950000003</v>
      </c>
      <c r="D636" s="80">
        <f t="shared" ref="D636:Z636" si="210">SUM(D637:D660)</f>
        <v>2013130.17</v>
      </c>
      <c r="E636" s="80">
        <f t="shared" si="210"/>
        <v>425781.93</v>
      </c>
      <c r="F636" s="1">
        <f t="shared" ref="F636:H636" si="211">F637+F638</f>
        <v>0</v>
      </c>
      <c r="G636" s="1">
        <f t="shared" si="211"/>
        <v>0</v>
      </c>
      <c r="H636" s="1">
        <f t="shared" si="211"/>
        <v>0</v>
      </c>
      <c r="I636" s="80">
        <f t="shared" si="210"/>
        <v>1587348.24</v>
      </c>
      <c r="J636" s="1">
        <f t="shared" ref="J636:N636" si="212">J637+J638</f>
        <v>0</v>
      </c>
      <c r="K636" s="1">
        <f t="shared" si="212"/>
        <v>0</v>
      </c>
      <c r="L636" s="1">
        <f t="shared" si="212"/>
        <v>0</v>
      </c>
      <c r="M636" s="1">
        <f t="shared" si="212"/>
        <v>0</v>
      </c>
      <c r="N636" s="1">
        <f t="shared" si="212"/>
        <v>0</v>
      </c>
      <c r="O636" s="1">
        <f t="shared" si="210"/>
        <v>8687.2000000000007</v>
      </c>
      <c r="P636" s="80">
        <f t="shared" si="210"/>
        <v>61611827.099999994</v>
      </c>
      <c r="Q636" s="1">
        <f t="shared" ref="Q636:R636" si="213">Q637+Q638</f>
        <v>0</v>
      </c>
      <c r="R636" s="1">
        <f t="shared" si="213"/>
        <v>0</v>
      </c>
      <c r="S636" s="80">
        <f t="shared" si="210"/>
        <v>1039.1999999999998</v>
      </c>
      <c r="T636" s="80">
        <f t="shared" si="210"/>
        <v>23078502.93</v>
      </c>
      <c r="U636" s="80">
        <f t="shared" si="210"/>
        <v>600.29999999999995</v>
      </c>
      <c r="V636" s="80">
        <f t="shared" si="210"/>
        <v>5577179.8399999999</v>
      </c>
      <c r="W636" s="1">
        <f t="shared" ref="W636:Y636" si="214">W637+W638</f>
        <v>0</v>
      </c>
      <c r="X636" s="1">
        <f t="shared" si="214"/>
        <v>0</v>
      </c>
      <c r="Y636" s="1">
        <f t="shared" si="214"/>
        <v>0</v>
      </c>
      <c r="Z636" s="80">
        <f t="shared" si="210"/>
        <v>2520827.91</v>
      </c>
      <c r="AA636" s="1">
        <f t="shared" ref="AA636" si="215">AA637+AA638</f>
        <v>0</v>
      </c>
    </row>
    <row r="637" spans="1:27" s="75" customFormat="1" ht="32.25" customHeight="1">
      <c r="A637" s="76">
        <v>231</v>
      </c>
      <c r="B637" s="7" t="s">
        <v>789</v>
      </c>
      <c r="C637" s="8">
        <f>D637+L637+N637+P637+R637+T637+V637+X637+Y637++Z637+AA637</f>
        <v>3641084.34</v>
      </c>
      <c r="D637" s="1">
        <f>E637+F637+G637+H637+I637+J637</f>
        <v>0</v>
      </c>
      <c r="E637" s="1">
        <v>0</v>
      </c>
      <c r="F637" s="1">
        <v>0</v>
      </c>
      <c r="G637" s="1">
        <v>0</v>
      </c>
      <c r="H637" s="1">
        <v>0</v>
      </c>
      <c r="I637" s="1">
        <v>0</v>
      </c>
      <c r="J637" s="1">
        <v>0</v>
      </c>
      <c r="K637" s="1">
        <v>0</v>
      </c>
      <c r="L637" s="1">
        <v>0</v>
      </c>
      <c r="M637" s="1">
        <v>0</v>
      </c>
      <c r="N637" s="1">
        <v>0</v>
      </c>
      <c r="O637" s="8">
        <v>377.9</v>
      </c>
      <c r="P637" s="1">
        <v>3376614.8</v>
      </c>
      <c r="Q637" s="1">
        <v>0</v>
      </c>
      <c r="R637" s="1">
        <v>0</v>
      </c>
      <c r="S637" s="1">
        <v>0</v>
      </c>
      <c r="T637" s="1">
        <v>0</v>
      </c>
      <c r="U637" s="1">
        <v>0</v>
      </c>
      <c r="V637" s="1">
        <v>0</v>
      </c>
      <c r="W637" s="1">
        <v>0</v>
      </c>
      <c r="X637" s="1">
        <v>0</v>
      </c>
      <c r="Y637" s="1">
        <v>0</v>
      </c>
      <c r="Z637" s="8">
        <v>264469.53999999998</v>
      </c>
      <c r="AA637" s="1">
        <v>0</v>
      </c>
    </row>
    <row r="638" spans="1:27" s="75" customFormat="1" ht="30" customHeight="1">
      <c r="A638" s="76">
        <v>232</v>
      </c>
      <c r="B638" s="7" t="s">
        <v>887</v>
      </c>
      <c r="C638" s="8">
        <f t="shared" ref="C638:C660" si="216">D638+L638+N638+P638+R638+T638+V638+X638+Y638++Z638+AA638</f>
        <v>1711675.5</v>
      </c>
      <c r="D638" s="1">
        <f t="shared" ref="D638:D660" si="217">E638+F638+G638+H638+I638+J638</f>
        <v>1587348.24</v>
      </c>
      <c r="E638" s="1">
        <v>0</v>
      </c>
      <c r="F638" s="1">
        <v>0</v>
      </c>
      <c r="G638" s="1">
        <v>0</v>
      </c>
      <c r="H638" s="1">
        <v>0</v>
      </c>
      <c r="I638" s="1">
        <v>1587348.24</v>
      </c>
      <c r="J638" s="1">
        <v>0</v>
      </c>
      <c r="K638" s="1">
        <v>0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  <c r="Q638" s="1">
        <v>0</v>
      </c>
      <c r="R638" s="1">
        <v>0</v>
      </c>
      <c r="S638" s="1">
        <v>0</v>
      </c>
      <c r="T638" s="1">
        <v>0</v>
      </c>
      <c r="U638" s="1">
        <v>0</v>
      </c>
      <c r="V638" s="1">
        <v>0</v>
      </c>
      <c r="W638" s="1">
        <v>0</v>
      </c>
      <c r="X638" s="1">
        <v>0</v>
      </c>
      <c r="Y638" s="1">
        <v>0</v>
      </c>
      <c r="Z638" s="8">
        <v>124327.26</v>
      </c>
      <c r="AA638" s="1">
        <v>0</v>
      </c>
    </row>
    <row r="639" spans="1:27" s="75" customFormat="1" ht="33" customHeight="1">
      <c r="A639" s="220">
        <v>233</v>
      </c>
      <c r="B639" s="226" t="s">
        <v>867</v>
      </c>
      <c r="C639" s="222">
        <f t="shared" si="216"/>
        <v>6014006.1499999994</v>
      </c>
      <c r="D639" s="1">
        <f t="shared" si="217"/>
        <v>0</v>
      </c>
      <c r="E639" s="1">
        <v>0</v>
      </c>
      <c r="F639" s="1">
        <v>0</v>
      </c>
      <c r="G639" s="1">
        <v>0</v>
      </c>
      <c r="H639" s="1">
        <v>0</v>
      </c>
      <c r="I639" s="1">
        <v>0</v>
      </c>
      <c r="J639" s="1">
        <v>0</v>
      </c>
      <c r="K639" s="1">
        <v>0</v>
      </c>
      <c r="L639" s="1">
        <v>0</v>
      </c>
      <c r="M639" s="1">
        <v>0</v>
      </c>
      <c r="N639" s="1">
        <v>0</v>
      </c>
      <c r="O639" s="1">
        <v>0</v>
      </c>
      <c r="P639" s="1">
        <v>0</v>
      </c>
      <c r="Q639" s="1">
        <v>0</v>
      </c>
      <c r="R639" s="1">
        <v>0</v>
      </c>
      <c r="S639" s="1">
        <v>0</v>
      </c>
      <c r="T639" s="1">
        <v>0</v>
      </c>
      <c r="U639" s="8">
        <v>600.29999999999995</v>
      </c>
      <c r="V639" s="8">
        <v>5577179.8399999999</v>
      </c>
      <c r="W639" s="1">
        <v>0</v>
      </c>
      <c r="X639" s="1">
        <v>0</v>
      </c>
      <c r="Y639" s="1">
        <v>0</v>
      </c>
      <c r="Z639" s="8">
        <v>436826.31</v>
      </c>
      <c r="AA639" s="1">
        <v>0</v>
      </c>
    </row>
    <row r="640" spans="1:27" s="75" customFormat="1" ht="34.5" customHeight="1">
      <c r="A640" s="76">
        <v>234</v>
      </c>
      <c r="B640" s="7" t="s">
        <v>172</v>
      </c>
      <c r="C640" s="8">
        <f t="shared" si="216"/>
        <v>2369603.29</v>
      </c>
      <c r="D640" s="1">
        <f t="shared" si="217"/>
        <v>0</v>
      </c>
      <c r="E640" s="1">
        <v>0</v>
      </c>
      <c r="F640" s="1">
        <v>0</v>
      </c>
      <c r="G640" s="1">
        <v>0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  <c r="M640" s="1">
        <v>0</v>
      </c>
      <c r="N640" s="1">
        <v>0</v>
      </c>
      <c r="O640" s="8">
        <v>320</v>
      </c>
      <c r="P640" s="1">
        <v>2369603.29</v>
      </c>
      <c r="Q640" s="1">
        <v>0</v>
      </c>
      <c r="R640" s="1">
        <v>0</v>
      </c>
      <c r="S640" s="1">
        <v>0</v>
      </c>
      <c r="T640" s="1">
        <v>0</v>
      </c>
      <c r="U640" s="1">
        <v>0</v>
      </c>
      <c r="V640" s="1">
        <v>0</v>
      </c>
      <c r="W640" s="1">
        <v>0</v>
      </c>
      <c r="X640" s="1">
        <v>0</v>
      </c>
      <c r="Y640" s="1">
        <v>0</v>
      </c>
      <c r="Z640" s="1">
        <v>0</v>
      </c>
      <c r="AA640" s="1">
        <v>0</v>
      </c>
    </row>
    <row r="641" spans="1:27" s="75" customFormat="1" ht="33" customHeight="1">
      <c r="A641" s="76">
        <v>235</v>
      </c>
      <c r="B641" s="7" t="s">
        <v>792</v>
      </c>
      <c r="C641" s="8">
        <f t="shared" si="216"/>
        <v>2325658.92</v>
      </c>
      <c r="D641" s="1">
        <f t="shared" si="217"/>
        <v>0</v>
      </c>
      <c r="E641" s="1">
        <v>0</v>
      </c>
      <c r="F641" s="1">
        <v>0</v>
      </c>
      <c r="G641" s="1">
        <v>0</v>
      </c>
      <c r="H641" s="1">
        <v>0</v>
      </c>
      <c r="I641" s="1">
        <v>0</v>
      </c>
      <c r="J641" s="1">
        <v>0</v>
      </c>
      <c r="K641" s="1">
        <v>0</v>
      </c>
      <c r="L641" s="1">
        <v>0</v>
      </c>
      <c r="M641" s="1">
        <v>0</v>
      </c>
      <c r="N641" s="1">
        <v>0</v>
      </c>
      <c r="O641" s="8">
        <v>310</v>
      </c>
      <c r="P641" s="1">
        <v>2325658.92</v>
      </c>
      <c r="Q641" s="1">
        <v>0</v>
      </c>
      <c r="R641" s="1">
        <v>0</v>
      </c>
      <c r="S641" s="1">
        <v>0</v>
      </c>
      <c r="T641" s="1">
        <v>0</v>
      </c>
      <c r="U641" s="1">
        <v>0</v>
      </c>
      <c r="V641" s="1">
        <v>0</v>
      </c>
      <c r="W641" s="1">
        <v>0</v>
      </c>
      <c r="X641" s="1">
        <v>0</v>
      </c>
      <c r="Y641" s="1">
        <v>0</v>
      </c>
      <c r="Z641" s="1">
        <v>0</v>
      </c>
      <c r="AA641" s="1">
        <v>0</v>
      </c>
    </row>
    <row r="642" spans="1:27" s="75" customFormat="1" ht="35.25" customHeight="1">
      <c r="A642" s="76">
        <v>236</v>
      </c>
      <c r="B642" s="121" t="s">
        <v>793</v>
      </c>
      <c r="C642" s="8">
        <f t="shared" si="216"/>
        <v>2776829.46</v>
      </c>
      <c r="D642" s="1">
        <f t="shared" si="217"/>
        <v>0</v>
      </c>
      <c r="E642" s="1">
        <v>0</v>
      </c>
      <c r="F642" s="1">
        <v>0</v>
      </c>
      <c r="G642" s="1">
        <v>0</v>
      </c>
      <c r="H642" s="1">
        <v>0</v>
      </c>
      <c r="I642" s="1">
        <v>0</v>
      </c>
      <c r="J642" s="1">
        <v>0</v>
      </c>
      <c r="K642" s="1">
        <v>0</v>
      </c>
      <c r="L642" s="1">
        <v>0</v>
      </c>
      <c r="M642" s="1">
        <v>0</v>
      </c>
      <c r="N642" s="1">
        <v>0</v>
      </c>
      <c r="O642" s="8">
        <v>422</v>
      </c>
      <c r="P642" s="1">
        <v>2776829.46</v>
      </c>
      <c r="Q642" s="1">
        <v>0</v>
      </c>
      <c r="R642" s="1">
        <v>0</v>
      </c>
      <c r="S642" s="1">
        <v>0</v>
      </c>
      <c r="T642" s="1">
        <v>0</v>
      </c>
      <c r="U642" s="1">
        <v>0</v>
      </c>
      <c r="V642" s="1">
        <v>0</v>
      </c>
      <c r="W642" s="1">
        <v>0</v>
      </c>
      <c r="X642" s="1">
        <v>0</v>
      </c>
      <c r="Y642" s="1">
        <v>0</v>
      </c>
      <c r="Z642" s="1">
        <v>0</v>
      </c>
      <c r="AA642" s="1">
        <v>0</v>
      </c>
    </row>
    <row r="643" spans="1:27" s="75" customFormat="1" ht="39" customHeight="1">
      <c r="A643" s="76">
        <v>237</v>
      </c>
      <c r="B643" s="12" t="s">
        <v>794</v>
      </c>
      <c r="C643" s="8">
        <f t="shared" si="216"/>
        <v>3181912.5</v>
      </c>
      <c r="D643" s="1">
        <f t="shared" si="217"/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8">
        <v>392</v>
      </c>
      <c r="P643" s="1">
        <v>3181912.5</v>
      </c>
      <c r="Q643" s="1">
        <v>0</v>
      </c>
      <c r="R643" s="1">
        <v>0</v>
      </c>
      <c r="S643" s="1">
        <v>0</v>
      </c>
      <c r="T643" s="1">
        <v>0</v>
      </c>
      <c r="U643" s="1">
        <v>0</v>
      </c>
      <c r="V643" s="1">
        <v>0</v>
      </c>
      <c r="W643" s="1">
        <v>0</v>
      </c>
      <c r="X643" s="1">
        <v>0</v>
      </c>
      <c r="Y643" s="1">
        <v>0</v>
      </c>
      <c r="Z643" s="1">
        <v>0</v>
      </c>
      <c r="AA643" s="1">
        <v>0</v>
      </c>
    </row>
    <row r="644" spans="1:27" s="75" customFormat="1" ht="31.5" customHeight="1">
      <c r="A644" s="76">
        <v>238</v>
      </c>
      <c r="B644" s="7" t="s">
        <v>795</v>
      </c>
      <c r="C644" s="8">
        <f t="shared" si="216"/>
        <v>3692524.2</v>
      </c>
      <c r="D644" s="1">
        <f t="shared" si="217"/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8">
        <v>545</v>
      </c>
      <c r="P644" s="1">
        <v>3692524.2</v>
      </c>
      <c r="Q644" s="1">
        <v>0</v>
      </c>
      <c r="R644" s="1">
        <v>0</v>
      </c>
      <c r="S644" s="1">
        <v>0</v>
      </c>
      <c r="T644" s="1">
        <v>0</v>
      </c>
      <c r="U644" s="1">
        <v>0</v>
      </c>
      <c r="V644" s="1">
        <v>0</v>
      </c>
      <c r="W644" s="1">
        <v>0</v>
      </c>
      <c r="X644" s="1">
        <v>0</v>
      </c>
      <c r="Y644" s="1">
        <v>0</v>
      </c>
      <c r="Z644" s="1">
        <v>0</v>
      </c>
      <c r="AA644" s="1">
        <v>0</v>
      </c>
    </row>
    <row r="645" spans="1:27" s="75" customFormat="1" ht="32.25" customHeight="1">
      <c r="A645" s="76">
        <v>239</v>
      </c>
      <c r="B645" s="7" t="s">
        <v>796</v>
      </c>
      <c r="C645" s="8">
        <f t="shared" si="216"/>
        <v>2141566.12</v>
      </c>
      <c r="D645" s="1">
        <f t="shared" si="217"/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8">
        <v>300</v>
      </c>
      <c r="P645" s="1">
        <v>2141566.12</v>
      </c>
      <c r="Q645" s="1">
        <v>0</v>
      </c>
      <c r="R645" s="1">
        <v>0</v>
      </c>
      <c r="S645" s="1">
        <v>0</v>
      </c>
      <c r="T645" s="1">
        <v>0</v>
      </c>
      <c r="U645" s="1">
        <v>0</v>
      </c>
      <c r="V645" s="1">
        <v>0</v>
      </c>
      <c r="W645" s="1">
        <v>0</v>
      </c>
      <c r="X645" s="1">
        <v>0</v>
      </c>
      <c r="Y645" s="1">
        <v>0</v>
      </c>
      <c r="Z645" s="1">
        <v>0</v>
      </c>
      <c r="AA645" s="1">
        <v>0</v>
      </c>
    </row>
    <row r="646" spans="1:27" s="75" customFormat="1" ht="31.5" customHeight="1">
      <c r="A646" s="76">
        <v>240</v>
      </c>
      <c r="B646" s="7" t="s">
        <v>797</v>
      </c>
      <c r="C646" s="8">
        <f t="shared" si="216"/>
        <v>3446603.42</v>
      </c>
      <c r="D646" s="1">
        <f t="shared" si="217"/>
        <v>0</v>
      </c>
      <c r="E646" s="1">
        <v>0</v>
      </c>
      <c r="F646" s="1">
        <v>0</v>
      </c>
      <c r="G646" s="1">
        <v>0</v>
      </c>
      <c r="H646" s="1">
        <v>0</v>
      </c>
      <c r="I646" s="1">
        <v>0</v>
      </c>
      <c r="J646" s="1">
        <v>0</v>
      </c>
      <c r="K646" s="1">
        <v>0</v>
      </c>
      <c r="L646" s="1">
        <v>0</v>
      </c>
      <c r="M646" s="1">
        <v>0</v>
      </c>
      <c r="N646" s="1">
        <v>0</v>
      </c>
      <c r="O646" s="8">
        <v>480</v>
      </c>
      <c r="P646" s="1">
        <v>3446603.42</v>
      </c>
      <c r="Q646" s="1">
        <v>0</v>
      </c>
      <c r="R646" s="1">
        <v>0</v>
      </c>
      <c r="S646" s="1">
        <v>0</v>
      </c>
      <c r="T646" s="1">
        <v>0</v>
      </c>
      <c r="U646" s="1">
        <v>0</v>
      </c>
      <c r="V646" s="1">
        <v>0</v>
      </c>
      <c r="W646" s="1">
        <v>0</v>
      </c>
      <c r="X646" s="1">
        <v>0</v>
      </c>
      <c r="Y646" s="1">
        <v>0</v>
      </c>
      <c r="Z646" s="1">
        <v>0</v>
      </c>
      <c r="AA646" s="1">
        <v>0</v>
      </c>
    </row>
    <row r="647" spans="1:27" s="75" customFormat="1" ht="35.25" customHeight="1">
      <c r="A647" s="76">
        <v>241</v>
      </c>
      <c r="B647" s="121" t="s">
        <v>888</v>
      </c>
      <c r="C647" s="8">
        <f t="shared" si="216"/>
        <v>932425.32</v>
      </c>
      <c r="D647" s="1">
        <f t="shared" si="217"/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8">
        <v>223.5</v>
      </c>
      <c r="P647" s="1">
        <v>883683.11</v>
      </c>
      <c r="Q647" s="1">
        <v>0</v>
      </c>
      <c r="R647" s="1">
        <v>0</v>
      </c>
      <c r="S647" s="1">
        <v>0</v>
      </c>
      <c r="T647" s="1">
        <v>0</v>
      </c>
      <c r="U647" s="1">
        <v>0</v>
      </c>
      <c r="V647" s="1">
        <v>0</v>
      </c>
      <c r="W647" s="1">
        <v>0</v>
      </c>
      <c r="X647" s="1">
        <v>0</v>
      </c>
      <c r="Y647" s="1">
        <v>0</v>
      </c>
      <c r="Z647" s="8">
        <v>48742.21</v>
      </c>
      <c r="AA647" s="1">
        <v>0</v>
      </c>
    </row>
    <row r="648" spans="1:27" s="75" customFormat="1" ht="32.25" customHeight="1">
      <c r="A648" s="76">
        <v>242</v>
      </c>
      <c r="B648" s="121" t="s">
        <v>889</v>
      </c>
      <c r="C648" s="8">
        <f t="shared" si="216"/>
        <v>1221986.53</v>
      </c>
      <c r="D648" s="1">
        <f t="shared" si="217"/>
        <v>0</v>
      </c>
      <c r="E648" s="1">
        <v>0</v>
      </c>
      <c r="F648" s="1">
        <v>0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8">
        <v>360.1</v>
      </c>
      <c r="P648" s="1">
        <v>1147922.96</v>
      </c>
      <c r="Q648" s="1">
        <v>0</v>
      </c>
      <c r="R648" s="1">
        <v>0</v>
      </c>
      <c r="S648" s="1">
        <v>0</v>
      </c>
      <c r="T648" s="1">
        <v>0</v>
      </c>
      <c r="U648" s="1">
        <v>0</v>
      </c>
      <c r="V648" s="1">
        <v>0</v>
      </c>
      <c r="W648" s="1">
        <v>0</v>
      </c>
      <c r="X648" s="1">
        <v>0</v>
      </c>
      <c r="Y648" s="1">
        <v>0</v>
      </c>
      <c r="Z648" s="8">
        <v>74063.570000000007</v>
      </c>
      <c r="AA648" s="1">
        <v>0</v>
      </c>
    </row>
    <row r="649" spans="1:27" s="75" customFormat="1" ht="34.5" customHeight="1">
      <c r="A649" s="76">
        <v>243</v>
      </c>
      <c r="B649" s="7" t="s">
        <v>798</v>
      </c>
      <c r="C649" s="8">
        <f t="shared" si="216"/>
        <v>3115034.31</v>
      </c>
      <c r="D649" s="1">
        <f t="shared" si="217"/>
        <v>0</v>
      </c>
      <c r="E649" s="1">
        <v>0</v>
      </c>
      <c r="F649" s="1">
        <v>0</v>
      </c>
      <c r="G649" s="1">
        <v>0</v>
      </c>
      <c r="H649" s="1">
        <v>0</v>
      </c>
      <c r="I649" s="1">
        <v>0</v>
      </c>
      <c r="J649" s="1">
        <v>0</v>
      </c>
      <c r="K649" s="1">
        <v>0</v>
      </c>
      <c r="L649" s="1">
        <v>0</v>
      </c>
      <c r="M649" s="1">
        <v>0</v>
      </c>
      <c r="N649" s="1">
        <v>0</v>
      </c>
      <c r="O649" s="8">
        <v>334.8</v>
      </c>
      <c r="P649" s="1">
        <v>3021201.27</v>
      </c>
      <c r="Q649" s="1">
        <v>0</v>
      </c>
      <c r="R649" s="1">
        <v>0</v>
      </c>
      <c r="S649" s="1">
        <v>0</v>
      </c>
      <c r="T649" s="1">
        <v>0</v>
      </c>
      <c r="U649" s="1">
        <v>0</v>
      </c>
      <c r="V649" s="1">
        <v>0</v>
      </c>
      <c r="W649" s="1">
        <v>0</v>
      </c>
      <c r="X649" s="1">
        <v>0</v>
      </c>
      <c r="Y649" s="1">
        <v>0</v>
      </c>
      <c r="Z649" s="8">
        <v>93833.04</v>
      </c>
      <c r="AA649" s="1">
        <v>0</v>
      </c>
    </row>
    <row r="650" spans="1:27" s="75" customFormat="1" ht="27" customHeight="1">
      <c r="A650" s="76">
        <v>244</v>
      </c>
      <c r="B650" s="7" t="s">
        <v>283</v>
      </c>
      <c r="C650" s="8">
        <f t="shared" si="216"/>
        <v>6792290.1100000003</v>
      </c>
      <c r="D650" s="1">
        <f t="shared" si="217"/>
        <v>0</v>
      </c>
      <c r="E650" s="1">
        <v>0</v>
      </c>
      <c r="F650" s="1">
        <v>0</v>
      </c>
      <c r="G650" s="1">
        <v>0</v>
      </c>
      <c r="H650" s="1">
        <v>0</v>
      </c>
      <c r="I650" s="1">
        <v>0</v>
      </c>
      <c r="J650" s="1">
        <v>0</v>
      </c>
      <c r="K650" s="1">
        <v>0</v>
      </c>
      <c r="L650" s="1">
        <v>0</v>
      </c>
      <c r="M650" s="1">
        <v>0</v>
      </c>
      <c r="N650" s="1">
        <v>0</v>
      </c>
      <c r="O650" s="8">
        <v>845</v>
      </c>
      <c r="P650" s="1">
        <v>6570650.8799999999</v>
      </c>
      <c r="Q650" s="1">
        <v>0</v>
      </c>
      <c r="R650" s="1">
        <v>0</v>
      </c>
      <c r="S650" s="1">
        <v>0</v>
      </c>
      <c r="T650" s="1">
        <v>0</v>
      </c>
      <c r="U650" s="1">
        <v>0</v>
      </c>
      <c r="V650" s="1">
        <v>0</v>
      </c>
      <c r="W650" s="1">
        <v>0</v>
      </c>
      <c r="X650" s="1">
        <v>0</v>
      </c>
      <c r="Y650" s="1">
        <v>0</v>
      </c>
      <c r="Z650" s="8">
        <v>221639.23</v>
      </c>
      <c r="AA650" s="1">
        <v>0</v>
      </c>
    </row>
    <row r="651" spans="1:27" s="75" customFormat="1" ht="29.25" customHeight="1">
      <c r="A651" s="76">
        <v>245</v>
      </c>
      <c r="B651" s="121" t="s">
        <v>175</v>
      </c>
      <c r="C651" s="8">
        <f t="shared" si="216"/>
        <v>2390985.4700000002</v>
      </c>
      <c r="D651" s="1">
        <f t="shared" si="217"/>
        <v>0</v>
      </c>
      <c r="E651" s="1">
        <v>0</v>
      </c>
      <c r="F651" s="1">
        <v>0</v>
      </c>
      <c r="G651" s="1">
        <v>0</v>
      </c>
      <c r="H651" s="1">
        <v>0</v>
      </c>
      <c r="I651" s="1">
        <v>0</v>
      </c>
      <c r="J651" s="1">
        <v>0</v>
      </c>
      <c r="K651" s="1">
        <v>0</v>
      </c>
      <c r="L651" s="1">
        <v>0</v>
      </c>
      <c r="M651" s="1">
        <v>0</v>
      </c>
      <c r="N651" s="1">
        <v>0</v>
      </c>
      <c r="O651" s="8">
        <v>234.3</v>
      </c>
      <c r="P651" s="1">
        <v>2314711.29</v>
      </c>
      <c r="Q651" s="1">
        <v>0</v>
      </c>
      <c r="R651" s="1">
        <v>0</v>
      </c>
      <c r="S651" s="1">
        <v>0</v>
      </c>
      <c r="T651" s="1">
        <v>0</v>
      </c>
      <c r="U651" s="1">
        <v>0</v>
      </c>
      <c r="V651" s="1">
        <v>0</v>
      </c>
      <c r="W651" s="1">
        <v>0</v>
      </c>
      <c r="X651" s="1">
        <v>0</v>
      </c>
      <c r="Y651" s="1">
        <v>0</v>
      </c>
      <c r="Z651" s="8">
        <v>76274.179999999993</v>
      </c>
      <c r="AA651" s="1">
        <v>0</v>
      </c>
    </row>
    <row r="652" spans="1:27" s="75" customFormat="1" ht="29.25" customHeight="1">
      <c r="A652" s="76">
        <v>246</v>
      </c>
      <c r="B652" s="121" t="s">
        <v>800</v>
      </c>
      <c r="C652" s="8">
        <f t="shared" si="216"/>
        <v>443764.06</v>
      </c>
      <c r="D652" s="1">
        <f t="shared" si="217"/>
        <v>425781.93</v>
      </c>
      <c r="E652" s="1">
        <v>425781.93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0</v>
      </c>
      <c r="N652" s="1">
        <v>0</v>
      </c>
      <c r="O652" s="1">
        <v>0</v>
      </c>
      <c r="P652" s="1">
        <v>0</v>
      </c>
      <c r="Q652" s="1">
        <v>0</v>
      </c>
      <c r="R652" s="1">
        <v>0</v>
      </c>
      <c r="S652" s="1">
        <v>0</v>
      </c>
      <c r="T652" s="1">
        <v>0</v>
      </c>
      <c r="U652" s="1">
        <v>0</v>
      </c>
      <c r="V652" s="1">
        <v>0</v>
      </c>
      <c r="W652" s="1">
        <v>0</v>
      </c>
      <c r="X652" s="1">
        <v>0</v>
      </c>
      <c r="Y652" s="1">
        <v>0</v>
      </c>
      <c r="Z652" s="8">
        <v>17982.13</v>
      </c>
      <c r="AA652" s="1">
        <v>0</v>
      </c>
    </row>
    <row r="653" spans="1:27" s="75" customFormat="1" ht="35.25" customHeight="1">
      <c r="A653" s="76">
        <v>247</v>
      </c>
      <c r="B653" s="10" t="s">
        <v>176</v>
      </c>
      <c r="C653" s="8">
        <f t="shared" si="216"/>
        <v>12149238.09</v>
      </c>
      <c r="D653" s="1">
        <f t="shared" si="217"/>
        <v>0</v>
      </c>
      <c r="E653" s="1">
        <v>0</v>
      </c>
      <c r="F653" s="1">
        <v>0</v>
      </c>
      <c r="G653" s="1">
        <v>0</v>
      </c>
      <c r="H653" s="1">
        <v>0</v>
      </c>
      <c r="I653" s="1">
        <v>0</v>
      </c>
      <c r="J653" s="1">
        <v>0</v>
      </c>
      <c r="K653" s="1">
        <v>0</v>
      </c>
      <c r="L653" s="1">
        <v>0</v>
      </c>
      <c r="M653" s="1">
        <v>0</v>
      </c>
      <c r="N653" s="1">
        <v>0</v>
      </c>
      <c r="O653" s="1">
        <v>0</v>
      </c>
      <c r="P653" s="1">
        <v>0</v>
      </c>
      <c r="Q653" s="1">
        <v>0</v>
      </c>
      <c r="R653" s="1">
        <v>0</v>
      </c>
      <c r="S653" s="8">
        <v>518.4</v>
      </c>
      <c r="T653" s="8">
        <v>12029620.75</v>
      </c>
      <c r="U653" s="1">
        <v>0</v>
      </c>
      <c r="V653" s="1">
        <v>0</v>
      </c>
      <c r="W653" s="1">
        <v>0</v>
      </c>
      <c r="X653" s="1">
        <v>0</v>
      </c>
      <c r="Y653" s="1">
        <v>0</v>
      </c>
      <c r="Z653" s="8">
        <v>119617.34</v>
      </c>
      <c r="AA653" s="1">
        <v>0</v>
      </c>
    </row>
    <row r="654" spans="1:27" s="75" customFormat="1" ht="34.5" customHeight="1">
      <c r="A654" s="76">
        <v>248</v>
      </c>
      <c r="B654" s="10" t="s">
        <v>177</v>
      </c>
      <c r="C654" s="8">
        <f t="shared" si="216"/>
        <v>11167948.289999999</v>
      </c>
      <c r="D654" s="1">
        <f t="shared" si="217"/>
        <v>0</v>
      </c>
      <c r="E654" s="1">
        <v>0</v>
      </c>
      <c r="F654" s="1">
        <v>0</v>
      </c>
      <c r="G654" s="1">
        <v>0</v>
      </c>
      <c r="H654" s="1">
        <v>0</v>
      </c>
      <c r="I654" s="1">
        <v>0</v>
      </c>
      <c r="J654" s="1">
        <v>0</v>
      </c>
      <c r="K654" s="1">
        <v>0</v>
      </c>
      <c r="L654" s="1">
        <v>0</v>
      </c>
      <c r="M654" s="1">
        <v>0</v>
      </c>
      <c r="N654" s="1">
        <v>0</v>
      </c>
      <c r="O654" s="1">
        <v>0</v>
      </c>
      <c r="P654" s="1">
        <v>0</v>
      </c>
      <c r="Q654" s="1">
        <v>0</v>
      </c>
      <c r="R654" s="1">
        <v>0</v>
      </c>
      <c r="S654" s="8">
        <v>520.79999999999995</v>
      </c>
      <c r="T654" s="8">
        <v>11048882.18</v>
      </c>
      <c r="U654" s="1">
        <v>0</v>
      </c>
      <c r="V654" s="1">
        <v>0</v>
      </c>
      <c r="W654" s="1">
        <v>0</v>
      </c>
      <c r="X654" s="1">
        <v>0</v>
      </c>
      <c r="Y654" s="1">
        <v>0</v>
      </c>
      <c r="Z654" s="8">
        <v>119066.11</v>
      </c>
      <c r="AA654" s="1">
        <v>0</v>
      </c>
    </row>
    <row r="655" spans="1:27" s="75" customFormat="1" ht="48" customHeight="1">
      <c r="A655" s="76">
        <v>249</v>
      </c>
      <c r="B655" s="7" t="s">
        <v>178</v>
      </c>
      <c r="C655" s="8">
        <f t="shared" si="216"/>
        <v>4140595.63</v>
      </c>
      <c r="D655" s="1">
        <f t="shared" si="217"/>
        <v>0</v>
      </c>
      <c r="E655" s="1">
        <v>0</v>
      </c>
      <c r="F655" s="1">
        <v>0</v>
      </c>
      <c r="G655" s="1">
        <v>0</v>
      </c>
      <c r="H655" s="1">
        <v>0</v>
      </c>
      <c r="I655" s="1">
        <v>0</v>
      </c>
      <c r="J655" s="1">
        <v>0</v>
      </c>
      <c r="K655" s="1">
        <v>0</v>
      </c>
      <c r="L655" s="1">
        <v>0</v>
      </c>
      <c r="M655" s="1">
        <v>0</v>
      </c>
      <c r="N655" s="1">
        <v>0</v>
      </c>
      <c r="O655" s="8">
        <v>382.5</v>
      </c>
      <c r="P655" s="1">
        <v>4022143.03</v>
      </c>
      <c r="Q655" s="1">
        <v>0</v>
      </c>
      <c r="R655" s="1">
        <v>0</v>
      </c>
      <c r="S655" s="1">
        <v>0</v>
      </c>
      <c r="T655" s="1">
        <v>0</v>
      </c>
      <c r="U655" s="1">
        <v>0</v>
      </c>
      <c r="V655" s="1">
        <v>0</v>
      </c>
      <c r="W655" s="1">
        <v>0</v>
      </c>
      <c r="X655" s="1">
        <v>0</v>
      </c>
      <c r="Y655" s="1">
        <v>0</v>
      </c>
      <c r="Z655" s="8">
        <v>118452.6</v>
      </c>
      <c r="AA655" s="1">
        <v>0</v>
      </c>
    </row>
    <row r="656" spans="1:27" s="75" customFormat="1" ht="39" customHeight="1">
      <c r="A656" s="76">
        <v>250</v>
      </c>
      <c r="B656" s="7" t="s">
        <v>801</v>
      </c>
      <c r="C656" s="8">
        <f t="shared" si="216"/>
        <v>2736091.3400000003</v>
      </c>
      <c r="D656" s="1">
        <f t="shared" si="217"/>
        <v>0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8">
        <v>306.10000000000002</v>
      </c>
      <c r="P656" s="1">
        <v>2646284.14</v>
      </c>
      <c r="Q656" s="1">
        <v>0</v>
      </c>
      <c r="R656" s="1">
        <v>0</v>
      </c>
      <c r="S656" s="1">
        <v>0</v>
      </c>
      <c r="T656" s="1">
        <v>0</v>
      </c>
      <c r="U656" s="1">
        <v>0</v>
      </c>
      <c r="V656" s="1">
        <v>0</v>
      </c>
      <c r="W656" s="1">
        <v>0</v>
      </c>
      <c r="X656" s="1">
        <v>0</v>
      </c>
      <c r="Y656" s="1">
        <v>0</v>
      </c>
      <c r="Z656" s="8">
        <v>89807.2</v>
      </c>
      <c r="AA656" s="1">
        <v>0</v>
      </c>
    </row>
    <row r="657" spans="1:27" s="75" customFormat="1" ht="29.25" customHeight="1">
      <c r="A657" s="76">
        <v>251</v>
      </c>
      <c r="B657" s="7" t="s">
        <v>802</v>
      </c>
      <c r="C657" s="8">
        <f t="shared" si="216"/>
        <v>7160195.9399999995</v>
      </c>
      <c r="D657" s="1">
        <f t="shared" si="217"/>
        <v>0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8">
        <v>1321.6</v>
      </c>
      <c r="P657" s="1">
        <v>6837153.5499999998</v>
      </c>
      <c r="Q657" s="1">
        <v>0</v>
      </c>
      <c r="R657" s="1">
        <v>0</v>
      </c>
      <c r="S657" s="1">
        <v>0</v>
      </c>
      <c r="T657" s="1">
        <v>0</v>
      </c>
      <c r="U657" s="1">
        <v>0</v>
      </c>
      <c r="V657" s="1">
        <v>0</v>
      </c>
      <c r="W657" s="1">
        <v>0</v>
      </c>
      <c r="X657" s="1">
        <v>0</v>
      </c>
      <c r="Y657" s="1">
        <v>0</v>
      </c>
      <c r="Z657" s="8">
        <v>323042.39</v>
      </c>
      <c r="AA657" s="1">
        <v>0</v>
      </c>
    </row>
    <row r="658" spans="1:27" s="75" customFormat="1" ht="36.75" customHeight="1">
      <c r="A658" s="76">
        <v>252</v>
      </c>
      <c r="B658" s="7" t="s">
        <v>803</v>
      </c>
      <c r="C658" s="8">
        <f t="shared" si="216"/>
        <v>5926492.2199999997</v>
      </c>
      <c r="D658" s="1">
        <f t="shared" si="217"/>
        <v>0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8">
        <v>738.4</v>
      </c>
      <c r="P658" s="1">
        <v>5741738</v>
      </c>
      <c r="Q658" s="1">
        <v>0</v>
      </c>
      <c r="R658" s="1">
        <v>0</v>
      </c>
      <c r="S658" s="1">
        <v>0</v>
      </c>
      <c r="T658" s="1">
        <v>0</v>
      </c>
      <c r="U658" s="1">
        <v>0</v>
      </c>
      <c r="V658" s="1">
        <v>0</v>
      </c>
      <c r="W658" s="1">
        <v>0</v>
      </c>
      <c r="X658" s="1">
        <v>0</v>
      </c>
      <c r="Y658" s="1">
        <v>0</v>
      </c>
      <c r="Z658" s="8">
        <v>184754.22</v>
      </c>
      <c r="AA658" s="1">
        <v>0</v>
      </c>
    </row>
    <row r="659" spans="1:27" s="75" customFormat="1" ht="34.5" customHeight="1">
      <c r="A659" s="76">
        <v>253</v>
      </c>
      <c r="B659" s="7" t="s">
        <v>804</v>
      </c>
      <c r="C659" s="8">
        <f t="shared" si="216"/>
        <v>2977733.71</v>
      </c>
      <c r="D659" s="1">
        <f t="shared" si="217"/>
        <v>0</v>
      </c>
      <c r="E659" s="1">
        <v>0</v>
      </c>
      <c r="F659" s="1">
        <v>0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8">
        <v>550</v>
      </c>
      <c r="P659" s="1">
        <v>2845365.05</v>
      </c>
      <c r="Q659" s="1">
        <v>0</v>
      </c>
      <c r="R659" s="1">
        <v>0</v>
      </c>
      <c r="S659" s="1">
        <v>0</v>
      </c>
      <c r="T659" s="1">
        <v>0</v>
      </c>
      <c r="U659" s="1">
        <v>0</v>
      </c>
      <c r="V659" s="1">
        <v>0</v>
      </c>
      <c r="W659" s="1">
        <v>0</v>
      </c>
      <c r="X659" s="1">
        <v>0</v>
      </c>
      <c r="Y659" s="1">
        <v>0</v>
      </c>
      <c r="Z659" s="8">
        <v>132368.66</v>
      </c>
      <c r="AA659" s="1">
        <v>0</v>
      </c>
    </row>
    <row r="660" spans="1:27" s="75" customFormat="1" ht="39.75" customHeight="1">
      <c r="A660" s="220">
        <v>254</v>
      </c>
      <c r="B660" s="225" t="s">
        <v>179</v>
      </c>
      <c r="C660" s="222">
        <f t="shared" si="216"/>
        <v>2345223.0299999998</v>
      </c>
      <c r="D660" s="1">
        <f t="shared" si="217"/>
        <v>0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0</v>
      </c>
      <c r="N660" s="1">
        <v>0</v>
      </c>
      <c r="O660" s="8">
        <v>244</v>
      </c>
      <c r="P660" s="1">
        <v>2269661.11</v>
      </c>
      <c r="Q660" s="1">
        <v>0</v>
      </c>
      <c r="R660" s="1">
        <v>0</v>
      </c>
      <c r="S660" s="1">
        <v>0</v>
      </c>
      <c r="T660" s="1">
        <v>0</v>
      </c>
      <c r="U660" s="1">
        <v>0</v>
      </c>
      <c r="V660" s="1">
        <v>0</v>
      </c>
      <c r="W660" s="1">
        <v>0</v>
      </c>
      <c r="X660" s="1">
        <v>0</v>
      </c>
      <c r="Y660" s="1">
        <v>0</v>
      </c>
      <c r="Z660" s="8">
        <v>75561.919999999998</v>
      </c>
      <c r="AA660" s="1">
        <v>0</v>
      </c>
    </row>
    <row r="661" spans="1:27" s="75" customFormat="1" ht="32.25" customHeight="1">
      <c r="A661" s="158" t="s">
        <v>143</v>
      </c>
      <c r="B661" s="160"/>
      <c r="C661" s="80">
        <f>SUM(C662:C670)</f>
        <v>46919815.789999992</v>
      </c>
      <c r="D661" s="80">
        <f t="shared" ref="D661:P661" si="218">SUM(D662:D670)</f>
        <v>7098410.3799999999</v>
      </c>
      <c r="E661" s="1">
        <f t="shared" ref="E661:F661" si="219">E662+E663</f>
        <v>0</v>
      </c>
      <c r="F661" s="1">
        <f t="shared" si="219"/>
        <v>0</v>
      </c>
      <c r="G661" s="80">
        <f t="shared" si="218"/>
        <v>3278914.7800000003</v>
      </c>
      <c r="H661" s="80">
        <f t="shared" si="218"/>
        <v>2920553.94</v>
      </c>
      <c r="I661" s="1">
        <f t="shared" ref="I661" si="220">I662+I663</f>
        <v>0</v>
      </c>
      <c r="J661" s="80">
        <f t="shared" si="218"/>
        <v>898941.66</v>
      </c>
      <c r="K661" s="1">
        <f t="shared" ref="K661:N661" si="221">K662+K663</f>
        <v>0</v>
      </c>
      <c r="L661" s="1">
        <f t="shared" si="221"/>
        <v>0</v>
      </c>
      <c r="M661" s="1">
        <f t="shared" si="221"/>
        <v>0</v>
      </c>
      <c r="N661" s="1">
        <f t="shared" si="221"/>
        <v>0</v>
      </c>
      <c r="O661" s="1">
        <f t="shared" si="218"/>
        <v>4117.0200000000004</v>
      </c>
      <c r="P661" s="80">
        <f t="shared" si="218"/>
        <v>36683281.359999999</v>
      </c>
      <c r="Q661" s="1">
        <f t="shared" ref="Q661:AA661" si="222">Q662+Q663</f>
        <v>0</v>
      </c>
      <c r="R661" s="1">
        <f t="shared" si="222"/>
        <v>0</v>
      </c>
      <c r="S661" s="1">
        <f t="shared" si="222"/>
        <v>0</v>
      </c>
      <c r="T661" s="1">
        <f t="shared" si="222"/>
        <v>0</v>
      </c>
      <c r="U661" s="1">
        <f t="shared" si="222"/>
        <v>0</v>
      </c>
      <c r="V661" s="1">
        <f t="shared" si="222"/>
        <v>0</v>
      </c>
      <c r="W661" s="1">
        <f t="shared" si="222"/>
        <v>0</v>
      </c>
      <c r="X661" s="1">
        <f t="shared" si="222"/>
        <v>0</v>
      </c>
      <c r="Y661" s="1">
        <f t="shared" si="222"/>
        <v>0</v>
      </c>
      <c r="Z661" s="1">
        <f>SUM(Z662:Z670)</f>
        <v>3138124.05</v>
      </c>
      <c r="AA661" s="1">
        <f t="shared" si="222"/>
        <v>0</v>
      </c>
    </row>
    <row r="662" spans="1:27" s="75" customFormat="1" ht="35.25" customHeight="1">
      <c r="A662" s="76">
        <v>255</v>
      </c>
      <c r="B662" s="121" t="s">
        <v>145</v>
      </c>
      <c r="C662" s="80">
        <f t="shared" si="205"/>
        <v>1568181.42</v>
      </c>
      <c r="D662" s="1">
        <f t="shared" si="206"/>
        <v>1498304.94</v>
      </c>
      <c r="E662" s="1">
        <v>0</v>
      </c>
      <c r="F662" s="1">
        <v>0</v>
      </c>
      <c r="G662" s="1">
        <v>0</v>
      </c>
      <c r="H662" s="1">
        <v>1498304.94</v>
      </c>
      <c r="I662" s="1">
        <v>0</v>
      </c>
      <c r="J662" s="1">
        <v>0</v>
      </c>
      <c r="K662" s="1">
        <v>0</v>
      </c>
      <c r="L662" s="1">
        <v>0</v>
      </c>
      <c r="M662" s="1">
        <v>0</v>
      </c>
      <c r="N662" s="1">
        <v>0</v>
      </c>
      <c r="O662" s="1">
        <v>0</v>
      </c>
      <c r="P662" s="1">
        <v>0</v>
      </c>
      <c r="Q662" s="1">
        <v>0</v>
      </c>
      <c r="R662" s="1">
        <v>0</v>
      </c>
      <c r="S662" s="1">
        <v>0</v>
      </c>
      <c r="T662" s="1">
        <v>0</v>
      </c>
      <c r="U662" s="1">
        <v>0</v>
      </c>
      <c r="V662" s="1">
        <v>0</v>
      </c>
      <c r="W662" s="1">
        <v>0</v>
      </c>
      <c r="X662" s="1">
        <v>0</v>
      </c>
      <c r="Y662" s="1">
        <v>0</v>
      </c>
      <c r="Z662" s="1">
        <v>69876.479999999996</v>
      </c>
      <c r="AA662" s="2">
        <v>0</v>
      </c>
    </row>
    <row r="663" spans="1:27" s="75" customFormat="1" ht="30" customHeight="1">
      <c r="A663" s="76">
        <v>256</v>
      </c>
      <c r="B663" s="121" t="s">
        <v>146</v>
      </c>
      <c r="C663" s="80">
        <f t="shared" si="205"/>
        <v>3216656.5300000003</v>
      </c>
      <c r="D663" s="1">
        <f t="shared" si="206"/>
        <v>2983015.24</v>
      </c>
      <c r="E663" s="1">
        <v>0</v>
      </c>
      <c r="F663" s="1">
        <v>0</v>
      </c>
      <c r="G663" s="1">
        <v>1746583.68</v>
      </c>
      <c r="H663" s="1">
        <v>757591.17</v>
      </c>
      <c r="I663" s="1">
        <v>0</v>
      </c>
      <c r="J663" s="1">
        <v>478840.39</v>
      </c>
      <c r="K663" s="1">
        <v>0</v>
      </c>
      <c r="L663" s="1">
        <v>0</v>
      </c>
      <c r="M663" s="1">
        <v>0</v>
      </c>
      <c r="N663" s="1">
        <v>0</v>
      </c>
      <c r="O663" s="1">
        <v>0</v>
      </c>
      <c r="P663" s="1">
        <v>0</v>
      </c>
      <c r="Q663" s="1">
        <v>0</v>
      </c>
      <c r="R663" s="1">
        <v>0</v>
      </c>
      <c r="S663" s="1">
        <v>0</v>
      </c>
      <c r="T663" s="1">
        <v>0</v>
      </c>
      <c r="U663" s="1">
        <v>0</v>
      </c>
      <c r="V663" s="1">
        <v>0</v>
      </c>
      <c r="W663" s="1">
        <v>0</v>
      </c>
      <c r="X663" s="1">
        <v>0</v>
      </c>
      <c r="Y663" s="1">
        <v>0</v>
      </c>
      <c r="Z663" s="1">
        <v>233641.29</v>
      </c>
      <c r="AA663" s="2">
        <v>0</v>
      </c>
    </row>
    <row r="664" spans="1:27" s="75" customFormat="1" ht="37.5" customHeight="1">
      <c r="A664" s="76">
        <v>257</v>
      </c>
      <c r="B664" s="121" t="s">
        <v>147</v>
      </c>
      <c r="C664" s="80">
        <f t="shared" si="205"/>
        <v>2822070.83</v>
      </c>
      <c r="D664" s="1">
        <f t="shared" si="206"/>
        <v>2617090.2000000002</v>
      </c>
      <c r="E664" s="1">
        <v>0</v>
      </c>
      <c r="F664" s="1">
        <v>0</v>
      </c>
      <c r="G664" s="1">
        <v>1532331.1</v>
      </c>
      <c r="H664" s="1">
        <v>664657.82999999996</v>
      </c>
      <c r="I664" s="1">
        <v>0</v>
      </c>
      <c r="J664" s="1">
        <v>420101.27</v>
      </c>
      <c r="K664" s="1">
        <v>0</v>
      </c>
      <c r="L664" s="1">
        <v>0</v>
      </c>
      <c r="M664" s="1">
        <v>0</v>
      </c>
      <c r="N664" s="1">
        <v>0</v>
      </c>
      <c r="O664" s="1">
        <v>0</v>
      </c>
      <c r="P664" s="1">
        <v>0</v>
      </c>
      <c r="Q664" s="1">
        <v>0</v>
      </c>
      <c r="R664" s="1">
        <v>0</v>
      </c>
      <c r="S664" s="1">
        <v>0</v>
      </c>
      <c r="T664" s="1">
        <v>0</v>
      </c>
      <c r="U664" s="1">
        <v>0</v>
      </c>
      <c r="V664" s="1">
        <v>0</v>
      </c>
      <c r="W664" s="1">
        <v>0</v>
      </c>
      <c r="X664" s="1">
        <v>0</v>
      </c>
      <c r="Y664" s="1">
        <v>0</v>
      </c>
      <c r="Z664" s="1">
        <v>204980.63</v>
      </c>
      <c r="AA664" s="2">
        <v>0</v>
      </c>
    </row>
    <row r="665" spans="1:27" s="75" customFormat="1" ht="27" customHeight="1">
      <c r="A665" s="76">
        <v>258</v>
      </c>
      <c r="B665" s="121" t="s">
        <v>530</v>
      </c>
      <c r="C665" s="80">
        <f t="shared" si="205"/>
        <v>4641418.05</v>
      </c>
      <c r="D665" s="1">
        <f t="shared" si="206"/>
        <v>0</v>
      </c>
      <c r="E665" s="1">
        <v>0</v>
      </c>
      <c r="F665" s="1">
        <v>0</v>
      </c>
      <c r="G665" s="1">
        <v>0</v>
      </c>
      <c r="H665" s="1">
        <v>0</v>
      </c>
      <c r="I665" s="1">
        <v>0</v>
      </c>
      <c r="J665" s="1">
        <v>0</v>
      </c>
      <c r="K665" s="1">
        <v>0</v>
      </c>
      <c r="L665" s="1">
        <v>0</v>
      </c>
      <c r="M665" s="1">
        <v>0</v>
      </c>
      <c r="N665" s="1">
        <v>0</v>
      </c>
      <c r="O665" s="1">
        <v>507</v>
      </c>
      <c r="P665" s="1">
        <v>4530150.05</v>
      </c>
      <c r="Q665" s="1">
        <v>0</v>
      </c>
      <c r="R665" s="1">
        <v>0</v>
      </c>
      <c r="S665" s="1">
        <v>0</v>
      </c>
      <c r="T665" s="1">
        <v>0</v>
      </c>
      <c r="U665" s="1">
        <v>0</v>
      </c>
      <c r="V665" s="1">
        <v>0</v>
      </c>
      <c r="W665" s="1">
        <v>0</v>
      </c>
      <c r="X665" s="1">
        <v>0</v>
      </c>
      <c r="Y665" s="1">
        <v>0</v>
      </c>
      <c r="Z665" s="1">
        <v>111268</v>
      </c>
      <c r="AA665" s="2">
        <v>0</v>
      </c>
    </row>
    <row r="666" spans="1:27" s="75" customFormat="1" ht="24" customHeight="1">
      <c r="A666" s="76">
        <v>259</v>
      </c>
      <c r="B666" s="121" t="s">
        <v>148</v>
      </c>
      <c r="C666" s="80">
        <f t="shared" si="205"/>
        <v>14320499.719999999</v>
      </c>
      <c r="D666" s="1">
        <f t="shared" si="206"/>
        <v>0</v>
      </c>
      <c r="E666" s="1">
        <v>0</v>
      </c>
      <c r="F666" s="1">
        <v>0</v>
      </c>
      <c r="G666" s="1">
        <v>0</v>
      </c>
      <c r="H666" s="1">
        <v>0</v>
      </c>
      <c r="I666" s="1">
        <v>0</v>
      </c>
      <c r="J666" s="1">
        <v>0</v>
      </c>
      <c r="K666" s="1">
        <v>0</v>
      </c>
      <c r="L666" s="1">
        <v>0</v>
      </c>
      <c r="M666" s="1">
        <v>0</v>
      </c>
      <c r="N666" s="1">
        <v>0</v>
      </c>
      <c r="O666" s="1">
        <v>1562</v>
      </c>
      <c r="P666" s="1">
        <v>13280332.68</v>
      </c>
      <c r="Q666" s="1">
        <v>0</v>
      </c>
      <c r="R666" s="1">
        <v>0</v>
      </c>
      <c r="S666" s="1">
        <v>0</v>
      </c>
      <c r="T666" s="1">
        <v>0</v>
      </c>
      <c r="U666" s="1">
        <v>0</v>
      </c>
      <c r="V666" s="1">
        <v>0</v>
      </c>
      <c r="W666" s="1">
        <v>0</v>
      </c>
      <c r="X666" s="1">
        <v>0</v>
      </c>
      <c r="Y666" s="1">
        <v>0</v>
      </c>
      <c r="Z666" s="1">
        <v>1040167.04</v>
      </c>
      <c r="AA666" s="2">
        <v>0</v>
      </c>
    </row>
    <row r="667" spans="1:27" s="75" customFormat="1" ht="29.25" customHeight="1">
      <c r="A667" s="76">
        <v>260</v>
      </c>
      <c r="B667" s="121" t="s">
        <v>149</v>
      </c>
      <c r="C667" s="80">
        <f t="shared" si="205"/>
        <v>4668180.3699999992</v>
      </c>
      <c r="D667" s="1">
        <f t="shared" si="206"/>
        <v>0</v>
      </c>
      <c r="E667" s="1">
        <v>0</v>
      </c>
      <c r="F667" s="1">
        <v>0</v>
      </c>
      <c r="G667" s="1">
        <v>0</v>
      </c>
      <c r="H667" s="1">
        <v>0</v>
      </c>
      <c r="I667" s="1">
        <v>0</v>
      </c>
      <c r="J667" s="1">
        <v>0</v>
      </c>
      <c r="K667" s="1">
        <v>0</v>
      </c>
      <c r="L667" s="1">
        <v>0</v>
      </c>
      <c r="M667" s="1">
        <v>0</v>
      </c>
      <c r="N667" s="1">
        <v>0</v>
      </c>
      <c r="O667" s="1">
        <v>484.5</v>
      </c>
      <c r="P667" s="1">
        <v>4329107.8899999997</v>
      </c>
      <c r="Q667" s="1">
        <v>0</v>
      </c>
      <c r="R667" s="1">
        <v>0</v>
      </c>
      <c r="S667" s="1">
        <v>0</v>
      </c>
      <c r="T667" s="1">
        <v>0</v>
      </c>
      <c r="U667" s="1">
        <v>0</v>
      </c>
      <c r="V667" s="1">
        <v>0</v>
      </c>
      <c r="W667" s="1">
        <v>0</v>
      </c>
      <c r="X667" s="1">
        <v>0</v>
      </c>
      <c r="Y667" s="1">
        <v>0</v>
      </c>
      <c r="Z667" s="1">
        <v>339072.48</v>
      </c>
      <c r="AA667" s="2">
        <v>0</v>
      </c>
    </row>
    <row r="668" spans="1:27" s="75" customFormat="1" ht="25.5" customHeight="1">
      <c r="A668" s="76">
        <v>261</v>
      </c>
      <c r="B668" s="121" t="s">
        <v>150</v>
      </c>
      <c r="C668" s="80">
        <f t="shared" si="205"/>
        <v>4366254.8</v>
      </c>
      <c r="D668" s="1">
        <f t="shared" si="206"/>
        <v>0</v>
      </c>
      <c r="E668" s="1">
        <v>0</v>
      </c>
      <c r="F668" s="1">
        <v>0</v>
      </c>
      <c r="G668" s="1">
        <v>0</v>
      </c>
      <c r="H668" s="1">
        <v>0</v>
      </c>
      <c r="I668" s="1">
        <v>0</v>
      </c>
      <c r="J668" s="1">
        <v>0</v>
      </c>
      <c r="K668" s="1">
        <v>0</v>
      </c>
      <c r="L668" s="1">
        <v>0</v>
      </c>
      <c r="M668" s="1">
        <v>0</v>
      </c>
      <c r="N668" s="1">
        <v>0</v>
      </c>
      <c r="O668" s="1">
        <v>435.3</v>
      </c>
      <c r="P668" s="1">
        <v>4049112.63</v>
      </c>
      <c r="Q668" s="1">
        <v>0</v>
      </c>
      <c r="R668" s="1">
        <v>0</v>
      </c>
      <c r="S668" s="1">
        <v>0</v>
      </c>
      <c r="T668" s="1">
        <v>0</v>
      </c>
      <c r="U668" s="1">
        <v>0</v>
      </c>
      <c r="V668" s="1">
        <v>0</v>
      </c>
      <c r="W668" s="1">
        <v>0</v>
      </c>
      <c r="X668" s="1">
        <v>0</v>
      </c>
      <c r="Y668" s="1">
        <v>0</v>
      </c>
      <c r="Z668" s="1">
        <v>317142.17</v>
      </c>
      <c r="AA668" s="2">
        <v>0</v>
      </c>
    </row>
    <row r="669" spans="1:27" s="75" customFormat="1" ht="27.75" customHeight="1">
      <c r="A669" s="76">
        <v>262</v>
      </c>
      <c r="B669" s="121" t="s">
        <v>151</v>
      </c>
      <c r="C669" s="80">
        <f t="shared" si="205"/>
        <v>7003460.6600000001</v>
      </c>
      <c r="D669" s="1">
        <f t="shared" si="206"/>
        <v>0</v>
      </c>
      <c r="E669" s="1">
        <v>0</v>
      </c>
      <c r="F669" s="1">
        <v>0</v>
      </c>
      <c r="G669" s="1">
        <v>0</v>
      </c>
      <c r="H669" s="1">
        <v>0</v>
      </c>
      <c r="I669" s="1">
        <v>0</v>
      </c>
      <c r="J669" s="1">
        <v>0</v>
      </c>
      <c r="K669" s="1">
        <v>0</v>
      </c>
      <c r="L669" s="1">
        <v>0</v>
      </c>
      <c r="M669" s="1">
        <v>0</v>
      </c>
      <c r="N669" s="1">
        <v>0</v>
      </c>
      <c r="O669" s="1">
        <v>698.22</v>
      </c>
      <c r="P669" s="1">
        <v>6494765.5</v>
      </c>
      <c r="Q669" s="1">
        <v>0</v>
      </c>
      <c r="R669" s="1">
        <v>0</v>
      </c>
      <c r="S669" s="1">
        <v>0</v>
      </c>
      <c r="T669" s="1">
        <v>0</v>
      </c>
      <c r="U669" s="1">
        <v>0</v>
      </c>
      <c r="V669" s="1">
        <v>0</v>
      </c>
      <c r="W669" s="1">
        <v>0</v>
      </c>
      <c r="X669" s="1">
        <v>0</v>
      </c>
      <c r="Y669" s="1">
        <v>0</v>
      </c>
      <c r="Z669" s="1">
        <v>508695.16</v>
      </c>
      <c r="AA669" s="2">
        <v>0</v>
      </c>
    </row>
    <row r="670" spans="1:27" s="75" customFormat="1" ht="31.5" customHeight="1">
      <c r="A670" s="76">
        <v>263</v>
      </c>
      <c r="B670" s="121" t="s">
        <v>152</v>
      </c>
      <c r="C670" s="80">
        <f t="shared" si="205"/>
        <v>4313093.41</v>
      </c>
      <c r="D670" s="1">
        <f t="shared" si="206"/>
        <v>0</v>
      </c>
      <c r="E670" s="1">
        <v>0</v>
      </c>
      <c r="F670" s="1">
        <v>0</v>
      </c>
      <c r="G670" s="1">
        <v>0</v>
      </c>
      <c r="H670" s="1">
        <v>0</v>
      </c>
      <c r="I670" s="1">
        <v>0</v>
      </c>
      <c r="J670" s="1">
        <v>0</v>
      </c>
      <c r="K670" s="1">
        <v>0</v>
      </c>
      <c r="L670" s="1">
        <v>0</v>
      </c>
      <c r="M670" s="1">
        <v>0</v>
      </c>
      <c r="N670" s="1">
        <v>0</v>
      </c>
      <c r="O670" s="1">
        <v>430</v>
      </c>
      <c r="P670" s="1">
        <v>3999812.61</v>
      </c>
      <c r="Q670" s="1">
        <v>0</v>
      </c>
      <c r="R670" s="1">
        <v>0</v>
      </c>
      <c r="S670" s="1">
        <v>0</v>
      </c>
      <c r="T670" s="1">
        <v>0</v>
      </c>
      <c r="U670" s="1">
        <v>0</v>
      </c>
      <c r="V670" s="1">
        <v>0</v>
      </c>
      <c r="W670" s="1">
        <v>0</v>
      </c>
      <c r="X670" s="1">
        <v>0</v>
      </c>
      <c r="Y670" s="1">
        <v>0</v>
      </c>
      <c r="Z670" s="1">
        <v>313280.8</v>
      </c>
      <c r="AA670" s="2">
        <v>0</v>
      </c>
    </row>
    <row r="671" spans="1:27" s="75" customFormat="1" ht="31.5" customHeight="1">
      <c r="A671" s="158" t="s">
        <v>154</v>
      </c>
      <c r="B671" s="160"/>
      <c r="C671" s="80">
        <f>C672+C673+C674+C675+C676+C677</f>
        <v>9473989.3599999994</v>
      </c>
      <c r="D671" s="80">
        <f t="shared" ref="D671:Z671" si="223">D672+D673+D674+D675+D676+D677</f>
        <v>887572.90000000014</v>
      </c>
      <c r="E671" s="1">
        <f t="shared" ref="E671:I671" si="224">E672+E673</f>
        <v>0</v>
      </c>
      <c r="F671" s="1">
        <f t="shared" si="224"/>
        <v>0</v>
      </c>
      <c r="G671" s="1">
        <f t="shared" si="224"/>
        <v>0</v>
      </c>
      <c r="H671" s="1">
        <f t="shared" si="224"/>
        <v>0</v>
      </c>
      <c r="I671" s="1">
        <f t="shared" si="224"/>
        <v>0</v>
      </c>
      <c r="J671" s="80">
        <f t="shared" si="223"/>
        <v>887572.90000000014</v>
      </c>
      <c r="K671" s="1">
        <f t="shared" ref="K671:R671" si="225">K672+K673</f>
        <v>0</v>
      </c>
      <c r="L671" s="1">
        <f t="shared" si="225"/>
        <v>0</v>
      </c>
      <c r="M671" s="1">
        <f t="shared" si="225"/>
        <v>0</v>
      </c>
      <c r="N671" s="1">
        <f t="shared" si="225"/>
        <v>0</v>
      </c>
      <c r="O671" s="1">
        <f t="shared" si="225"/>
        <v>0</v>
      </c>
      <c r="P671" s="1">
        <f t="shared" si="225"/>
        <v>0</v>
      </c>
      <c r="Q671" s="1">
        <f t="shared" si="225"/>
        <v>0</v>
      </c>
      <c r="R671" s="1">
        <f t="shared" si="225"/>
        <v>0</v>
      </c>
      <c r="S671" s="1">
        <f t="shared" si="223"/>
        <v>951</v>
      </c>
      <c r="T671" s="80">
        <f t="shared" si="223"/>
        <v>3019586.15</v>
      </c>
      <c r="U671" s="80">
        <f t="shared" si="223"/>
        <v>594</v>
      </c>
      <c r="V671" s="80">
        <f t="shared" si="223"/>
        <v>5301445.96</v>
      </c>
      <c r="W671" s="1">
        <f t="shared" ref="W671:Y671" si="226">W672+W673</f>
        <v>0</v>
      </c>
      <c r="X671" s="1">
        <f t="shared" si="226"/>
        <v>0</v>
      </c>
      <c r="Y671" s="1">
        <f t="shared" si="226"/>
        <v>0</v>
      </c>
      <c r="Z671" s="80">
        <f t="shared" si="223"/>
        <v>265384.34999999998</v>
      </c>
      <c r="AA671" s="1">
        <f t="shared" ref="AA671" si="227">AA672+AA673</f>
        <v>0</v>
      </c>
    </row>
    <row r="672" spans="1:27" s="75" customFormat="1" ht="29.25" customHeight="1">
      <c r="A672" s="76">
        <v>264</v>
      </c>
      <c r="B672" s="121" t="s">
        <v>155</v>
      </c>
      <c r="C672" s="1">
        <f>D672+L672+N672+P672+R672+T672+V672+X672+Y672+Z672+AA672</f>
        <v>2266042.34</v>
      </c>
      <c r="D672" s="1">
        <f>E672+F672+G672+H672+I672+J672</f>
        <v>0</v>
      </c>
      <c r="E672" s="1">
        <v>0</v>
      </c>
      <c r="F672" s="1">
        <v>0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0</v>
      </c>
      <c r="P672" s="1">
        <v>0</v>
      </c>
      <c r="Q672" s="1">
        <v>0</v>
      </c>
      <c r="R672" s="1">
        <v>0</v>
      </c>
      <c r="S672" s="3">
        <v>617</v>
      </c>
      <c r="T672" s="8">
        <v>2168229.15</v>
      </c>
      <c r="U672" s="1">
        <v>0</v>
      </c>
      <c r="V672" s="1">
        <v>0</v>
      </c>
      <c r="W672" s="1">
        <v>0</v>
      </c>
      <c r="X672" s="1">
        <v>0</v>
      </c>
      <c r="Y672" s="1">
        <v>0</v>
      </c>
      <c r="Z672" s="8">
        <v>97813.19</v>
      </c>
      <c r="AA672" s="1">
        <v>0</v>
      </c>
    </row>
    <row r="673" spans="1:27" s="75" customFormat="1" ht="31.5" customHeight="1">
      <c r="A673" s="76">
        <v>265</v>
      </c>
      <c r="B673" s="121" t="s">
        <v>156</v>
      </c>
      <c r="C673" s="1">
        <f t="shared" ref="C673:C677" si="228">D673+L673+N673+P673+R673+T673+V673+X673+Y673+Z673+AA673</f>
        <v>895660.75</v>
      </c>
      <c r="D673" s="1">
        <f t="shared" ref="D673:D677" si="229">E673+F673+G673+H673+I673+J673</f>
        <v>0</v>
      </c>
      <c r="E673" s="1">
        <v>0</v>
      </c>
      <c r="F673" s="1">
        <v>0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0</v>
      </c>
      <c r="P673" s="1">
        <v>0</v>
      </c>
      <c r="Q673" s="1">
        <v>0</v>
      </c>
      <c r="R673" s="1">
        <v>0</v>
      </c>
      <c r="S673" s="3">
        <v>334</v>
      </c>
      <c r="T673" s="8">
        <v>851357</v>
      </c>
      <c r="U673" s="1">
        <v>0</v>
      </c>
      <c r="V673" s="1">
        <v>0</v>
      </c>
      <c r="W673" s="1">
        <v>0</v>
      </c>
      <c r="X673" s="1">
        <v>0</v>
      </c>
      <c r="Y673" s="1">
        <v>0</v>
      </c>
      <c r="Z673" s="8">
        <v>44303.75</v>
      </c>
      <c r="AA673" s="1">
        <v>0</v>
      </c>
    </row>
    <row r="674" spans="1:27" s="75" customFormat="1" ht="25.5" customHeight="1">
      <c r="A674" s="76">
        <v>266</v>
      </c>
      <c r="B674" s="121" t="s">
        <v>157</v>
      </c>
      <c r="C674" s="1">
        <f t="shared" si="228"/>
        <v>350956.28</v>
      </c>
      <c r="D674" s="1">
        <f t="shared" si="229"/>
        <v>332661.81</v>
      </c>
      <c r="E674" s="1">
        <v>0</v>
      </c>
      <c r="F674" s="1">
        <v>0</v>
      </c>
      <c r="G674" s="1">
        <v>0</v>
      </c>
      <c r="H674" s="1">
        <v>0</v>
      </c>
      <c r="I674" s="1">
        <v>0</v>
      </c>
      <c r="J674" s="1">
        <v>332661.81</v>
      </c>
      <c r="K674" s="1">
        <v>0</v>
      </c>
      <c r="L674" s="1">
        <v>0</v>
      </c>
      <c r="M674" s="1">
        <v>0</v>
      </c>
      <c r="N674" s="1">
        <v>0</v>
      </c>
      <c r="O674" s="1">
        <v>0</v>
      </c>
      <c r="P674" s="1">
        <v>0</v>
      </c>
      <c r="Q674" s="1">
        <v>0</v>
      </c>
      <c r="R674" s="1">
        <v>0</v>
      </c>
      <c r="S674" s="1">
        <v>0</v>
      </c>
      <c r="T674" s="1">
        <v>0</v>
      </c>
      <c r="U674" s="1">
        <v>0</v>
      </c>
      <c r="V674" s="1">
        <v>0</v>
      </c>
      <c r="W674" s="1">
        <v>0</v>
      </c>
      <c r="X674" s="1">
        <v>0</v>
      </c>
      <c r="Y674" s="1">
        <v>0</v>
      </c>
      <c r="Z674" s="8">
        <v>18294.47</v>
      </c>
      <c r="AA674" s="1">
        <v>0</v>
      </c>
    </row>
    <row r="675" spans="1:27" s="75" customFormat="1" ht="27" customHeight="1">
      <c r="A675" s="76">
        <v>267</v>
      </c>
      <c r="B675" s="121" t="s">
        <v>158</v>
      </c>
      <c r="C675" s="1">
        <f t="shared" si="228"/>
        <v>217821.25</v>
      </c>
      <c r="D675" s="1">
        <f t="shared" si="229"/>
        <v>206447</v>
      </c>
      <c r="E675" s="1">
        <v>0</v>
      </c>
      <c r="F675" s="1">
        <v>0</v>
      </c>
      <c r="G675" s="1">
        <v>0</v>
      </c>
      <c r="H675" s="1">
        <v>0</v>
      </c>
      <c r="I675" s="1">
        <v>0</v>
      </c>
      <c r="J675" s="1">
        <v>206447</v>
      </c>
      <c r="K675" s="1">
        <v>0</v>
      </c>
      <c r="L675" s="1">
        <v>0</v>
      </c>
      <c r="M675" s="1">
        <v>0</v>
      </c>
      <c r="N675" s="1">
        <v>0</v>
      </c>
      <c r="O675" s="1">
        <v>0</v>
      </c>
      <c r="P675" s="1">
        <v>0</v>
      </c>
      <c r="Q675" s="1">
        <v>0</v>
      </c>
      <c r="R675" s="1">
        <v>0</v>
      </c>
      <c r="S675" s="1">
        <v>0</v>
      </c>
      <c r="T675" s="1">
        <v>0</v>
      </c>
      <c r="U675" s="1">
        <v>0</v>
      </c>
      <c r="V675" s="1">
        <v>0</v>
      </c>
      <c r="W675" s="1">
        <v>0</v>
      </c>
      <c r="X675" s="1">
        <v>0</v>
      </c>
      <c r="Y675" s="1">
        <v>0</v>
      </c>
      <c r="Z675" s="8">
        <v>11374.25</v>
      </c>
      <c r="AA675" s="1">
        <v>0</v>
      </c>
    </row>
    <row r="676" spans="1:27" s="75" customFormat="1" ht="34.5" customHeight="1">
      <c r="A676" s="76">
        <v>268</v>
      </c>
      <c r="B676" s="121" t="s">
        <v>159</v>
      </c>
      <c r="C676" s="1">
        <f t="shared" si="228"/>
        <v>375421.78</v>
      </c>
      <c r="D676" s="1">
        <f t="shared" si="229"/>
        <v>348464.09</v>
      </c>
      <c r="E676" s="1">
        <v>0</v>
      </c>
      <c r="F676" s="1">
        <v>0</v>
      </c>
      <c r="G676" s="1">
        <v>0</v>
      </c>
      <c r="H676" s="1">
        <v>0</v>
      </c>
      <c r="I676" s="1">
        <v>0</v>
      </c>
      <c r="J676" s="1">
        <v>348464.09</v>
      </c>
      <c r="K676" s="1">
        <v>0</v>
      </c>
      <c r="L676" s="1">
        <v>0</v>
      </c>
      <c r="M676" s="1">
        <v>0</v>
      </c>
      <c r="N676" s="1">
        <v>0</v>
      </c>
      <c r="O676" s="1">
        <v>0</v>
      </c>
      <c r="P676" s="1">
        <v>0</v>
      </c>
      <c r="Q676" s="1">
        <v>0</v>
      </c>
      <c r="R676" s="1">
        <v>0</v>
      </c>
      <c r="S676" s="1">
        <v>0</v>
      </c>
      <c r="T676" s="1">
        <v>0</v>
      </c>
      <c r="U676" s="1">
        <v>0</v>
      </c>
      <c r="V676" s="1">
        <v>0</v>
      </c>
      <c r="W676" s="1">
        <v>0</v>
      </c>
      <c r="X676" s="1">
        <v>0</v>
      </c>
      <c r="Y676" s="1">
        <v>0</v>
      </c>
      <c r="Z676" s="8">
        <v>26957.69</v>
      </c>
      <c r="AA676" s="1">
        <v>0</v>
      </c>
    </row>
    <row r="677" spans="1:27" s="75" customFormat="1" ht="25.5" customHeight="1">
      <c r="A677" s="76">
        <v>269</v>
      </c>
      <c r="B677" s="121" t="s">
        <v>160</v>
      </c>
      <c r="C677" s="1">
        <f t="shared" si="228"/>
        <v>5368086.96</v>
      </c>
      <c r="D677" s="1">
        <f t="shared" si="229"/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0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0</v>
      </c>
      <c r="S677" s="1">
        <v>0</v>
      </c>
      <c r="T677" s="1">
        <v>0</v>
      </c>
      <c r="U677" s="3">
        <v>594</v>
      </c>
      <c r="V677" s="8">
        <v>5301445.96</v>
      </c>
      <c r="W677" s="1">
        <v>0</v>
      </c>
      <c r="X677" s="1">
        <v>0</v>
      </c>
      <c r="Y677" s="1">
        <v>0</v>
      </c>
      <c r="Z677" s="8">
        <v>66641</v>
      </c>
      <c r="AA677" s="1">
        <v>0</v>
      </c>
    </row>
    <row r="678" spans="1:27" s="75" customFormat="1" ht="31.5" customHeight="1">
      <c r="A678" s="158" t="s">
        <v>233</v>
      </c>
      <c r="B678" s="160"/>
      <c r="C678" s="1">
        <f>SUM(C679:C696)</f>
        <v>99294461.309999987</v>
      </c>
      <c r="D678" s="1">
        <f t="shared" ref="D678:AA678" si="230">SUM(D679:D696)</f>
        <v>8354192.6000000006</v>
      </c>
      <c r="E678" s="1">
        <f t="shared" si="230"/>
        <v>5640461.9000000004</v>
      </c>
      <c r="F678" s="1">
        <f t="shared" si="230"/>
        <v>0</v>
      </c>
      <c r="G678" s="1">
        <f t="shared" si="230"/>
        <v>0</v>
      </c>
      <c r="H678" s="1">
        <f t="shared" si="230"/>
        <v>0</v>
      </c>
      <c r="I678" s="1">
        <f t="shared" si="230"/>
        <v>2713730.7</v>
      </c>
      <c r="J678" s="1">
        <f t="shared" si="230"/>
        <v>0</v>
      </c>
      <c r="K678" s="1">
        <f t="shared" si="230"/>
        <v>0</v>
      </c>
      <c r="L678" s="1">
        <f t="shared" si="230"/>
        <v>0</v>
      </c>
      <c r="M678" s="1">
        <f t="shared" si="230"/>
        <v>0</v>
      </c>
      <c r="N678" s="1">
        <f t="shared" si="230"/>
        <v>0</v>
      </c>
      <c r="O678" s="1">
        <f t="shared" si="230"/>
        <v>7646.22</v>
      </c>
      <c r="P678" s="1">
        <f t="shared" si="230"/>
        <v>57587904.579999998</v>
      </c>
      <c r="Q678" s="1">
        <f t="shared" si="230"/>
        <v>0</v>
      </c>
      <c r="R678" s="1">
        <f t="shared" si="230"/>
        <v>0</v>
      </c>
      <c r="S678" s="1">
        <f t="shared" si="230"/>
        <v>2246.3000000000002</v>
      </c>
      <c r="T678" s="1">
        <f t="shared" si="230"/>
        <v>14288227.32</v>
      </c>
      <c r="U678" s="1">
        <f t="shared" si="230"/>
        <v>1426.6</v>
      </c>
      <c r="V678" s="1">
        <f t="shared" si="230"/>
        <v>12988504.399999999</v>
      </c>
      <c r="W678" s="1">
        <f t="shared" si="230"/>
        <v>0</v>
      </c>
      <c r="X678" s="1">
        <f t="shared" si="230"/>
        <v>0</v>
      </c>
      <c r="Y678" s="1">
        <f t="shared" si="230"/>
        <v>0</v>
      </c>
      <c r="Z678" s="1">
        <f t="shared" si="230"/>
        <v>6075632.4099999992</v>
      </c>
      <c r="AA678" s="1">
        <f t="shared" si="230"/>
        <v>0</v>
      </c>
    </row>
    <row r="679" spans="1:27" s="75" customFormat="1" ht="27" customHeight="1">
      <c r="A679" s="76">
        <v>270</v>
      </c>
      <c r="B679" s="121" t="s">
        <v>531</v>
      </c>
      <c r="C679" s="1">
        <f>D679+L679+N679+P679+R679+T679+V679+X679+Y679+Z679+AA679</f>
        <v>5311236.8100000005</v>
      </c>
      <c r="D679" s="1">
        <f t="shared" ref="D679:D695" si="231">E679+F679+G679+H679+I679+J679</f>
        <v>0</v>
      </c>
      <c r="E679" s="1">
        <v>0</v>
      </c>
      <c r="F679" s="1">
        <v>0</v>
      </c>
      <c r="G679" s="1">
        <v>0</v>
      </c>
      <c r="H679" s="1">
        <v>0</v>
      </c>
      <c r="I679" s="1">
        <v>0</v>
      </c>
      <c r="J679" s="1">
        <v>0</v>
      </c>
      <c r="K679" s="1">
        <v>0</v>
      </c>
      <c r="L679" s="1">
        <v>0</v>
      </c>
      <c r="M679" s="1">
        <v>0</v>
      </c>
      <c r="N679" s="1">
        <v>0</v>
      </c>
      <c r="O679" s="128">
        <v>579.32000000000005</v>
      </c>
      <c r="P679" s="29">
        <v>4925456.04</v>
      </c>
      <c r="Q679" s="1">
        <v>0</v>
      </c>
      <c r="R679" s="1">
        <v>0</v>
      </c>
      <c r="S679" s="29">
        <v>0</v>
      </c>
      <c r="T679" s="29">
        <v>0</v>
      </c>
      <c r="U679" s="29">
        <v>0</v>
      </c>
      <c r="V679" s="29">
        <v>0</v>
      </c>
      <c r="W679" s="1">
        <v>0</v>
      </c>
      <c r="X679" s="1">
        <v>0</v>
      </c>
      <c r="Y679" s="1">
        <v>0</v>
      </c>
      <c r="Z679" s="29">
        <v>385780.77</v>
      </c>
      <c r="AA679" s="1">
        <v>0</v>
      </c>
    </row>
    <row r="680" spans="1:27" s="75" customFormat="1" ht="27" customHeight="1">
      <c r="A680" s="76">
        <v>271</v>
      </c>
      <c r="B680" s="31" t="s">
        <v>533</v>
      </c>
      <c r="C680" s="1">
        <f t="shared" ref="C680:C695" si="232">D680+L680+N680+P680+R680+T680+V680+X680+Y680+Z680+AA680</f>
        <v>5414896.5300000003</v>
      </c>
      <c r="D680" s="1">
        <f t="shared" si="231"/>
        <v>0</v>
      </c>
      <c r="E680" s="1">
        <v>0</v>
      </c>
      <c r="F680" s="1">
        <v>0</v>
      </c>
      <c r="G680" s="1">
        <v>0</v>
      </c>
      <c r="H680" s="1">
        <v>0</v>
      </c>
      <c r="I680" s="1">
        <v>0</v>
      </c>
      <c r="J680" s="1">
        <v>0</v>
      </c>
      <c r="K680" s="1">
        <v>0</v>
      </c>
      <c r="L680" s="1">
        <v>0</v>
      </c>
      <c r="M680" s="1">
        <v>0</v>
      </c>
      <c r="N680" s="1">
        <v>0</v>
      </c>
      <c r="O680" s="30">
        <v>562</v>
      </c>
      <c r="P680" s="32">
        <v>5021586.45</v>
      </c>
      <c r="Q680" s="1">
        <v>0</v>
      </c>
      <c r="R680" s="1">
        <v>0</v>
      </c>
      <c r="S680" s="29">
        <v>0</v>
      </c>
      <c r="T680" s="29">
        <v>0</v>
      </c>
      <c r="U680" s="29">
        <v>0</v>
      </c>
      <c r="V680" s="29">
        <v>0</v>
      </c>
      <c r="W680" s="1">
        <v>0</v>
      </c>
      <c r="X680" s="1">
        <v>0</v>
      </c>
      <c r="Y680" s="1">
        <v>0</v>
      </c>
      <c r="Z680" s="33">
        <v>393310.08</v>
      </c>
      <c r="AA680" s="1">
        <v>0</v>
      </c>
    </row>
    <row r="681" spans="1:27" s="75" customFormat="1" ht="30" customHeight="1">
      <c r="A681" s="76">
        <v>272</v>
      </c>
      <c r="B681" s="121" t="s">
        <v>532</v>
      </c>
      <c r="C681" s="1">
        <f t="shared" si="232"/>
        <v>4092423.52</v>
      </c>
      <c r="D681" s="1">
        <f t="shared" si="231"/>
        <v>0</v>
      </c>
      <c r="E681" s="1">
        <v>0</v>
      </c>
      <c r="F681" s="1">
        <v>0</v>
      </c>
      <c r="G681" s="1">
        <v>0</v>
      </c>
      <c r="H681" s="1">
        <v>0</v>
      </c>
      <c r="I681" s="1">
        <v>0</v>
      </c>
      <c r="J681" s="1">
        <v>0</v>
      </c>
      <c r="K681" s="1">
        <v>0</v>
      </c>
      <c r="L681" s="1">
        <v>0</v>
      </c>
      <c r="M681" s="1">
        <v>0</v>
      </c>
      <c r="N681" s="1">
        <v>0</v>
      </c>
      <c r="O681" s="1">
        <v>408</v>
      </c>
      <c r="P681" s="29">
        <v>3795171.04</v>
      </c>
      <c r="Q681" s="1">
        <v>0</v>
      </c>
      <c r="R681" s="1">
        <v>0</v>
      </c>
      <c r="S681" s="29">
        <v>0</v>
      </c>
      <c r="T681" s="29">
        <v>0</v>
      </c>
      <c r="U681" s="29">
        <v>0</v>
      </c>
      <c r="V681" s="29">
        <v>0</v>
      </c>
      <c r="W681" s="1">
        <v>0</v>
      </c>
      <c r="X681" s="1">
        <v>0</v>
      </c>
      <c r="Y681" s="1">
        <v>0</v>
      </c>
      <c r="Z681" s="29">
        <v>297252.47999999998</v>
      </c>
      <c r="AA681" s="1">
        <v>0</v>
      </c>
    </row>
    <row r="682" spans="1:27" s="75" customFormat="1" ht="32.25" customHeight="1">
      <c r="A682" s="76">
        <v>273</v>
      </c>
      <c r="B682" s="121" t="s">
        <v>890</v>
      </c>
      <c r="C682" s="1">
        <f t="shared" si="232"/>
        <v>4642493.3899999997</v>
      </c>
      <c r="D682" s="1">
        <f t="shared" si="231"/>
        <v>0</v>
      </c>
      <c r="E682" s="1">
        <v>0</v>
      </c>
      <c r="F682" s="1">
        <v>0</v>
      </c>
      <c r="G682" s="1">
        <v>0</v>
      </c>
      <c r="H682" s="1">
        <v>0</v>
      </c>
      <c r="I682" s="1">
        <v>0</v>
      </c>
      <c r="J682" s="1">
        <v>0</v>
      </c>
      <c r="K682" s="1">
        <v>0</v>
      </c>
      <c r="L682" s="1">
        <v>0</v>
      </c>
      <c r="M682" s="1">
        <v>0</v>
      </c>
      <c r="N682" s="1">
        <v>0</v>
      </c>
      <c r="O682" s="2">
        <v>462.84</v>
      </c>
      <c r="P682" s="29">
        <v>4305286.68</v>
      </c>
      <c r="Q682" s="1">
        <v>0</v>
      </c>
      <c r="R682" s="1">
        <v>0</v>
      </c>
      <c r="S682" s="29">
        <v>0</v>
      </c>
      <c r="T682" s="29">
        <v>0</v>
      </c>
      <c r="U682" s="29">
        <v>0</v>
      </c>
      <c r="V682" s="29">
        <v>0</v>
      </c>
      <c r="W682" s="1">
        <v>0</v>
      </c>
      <c r="X682" s="1">
        <v>0</v>
      </c>
      <c r="Y682" s="1">
        <v>0</v>
      </c>
      <c r="Z682" s="29">
        <v>337206.71</v>
      </c>
      <c r="AA682" s="1">
        <v>0</v>
      </c>
    </row>
    <row r="683" spans="1:27" s="75" customFormat="1" ht="37.5" customHeight="1">
      <c r="A683" s="76">
        <v>274</v>
      </c>
      <c r="B683" s="121" t="s">
        <v>806</v>
      </c>
      <c r="C683" s="1">
        <f t="shared" si="232"/>
        <v>5575374.9100000001</v>
      </c>
      <c r="D683" s="1">
        <f t="shared" si="231"/>
        <v>0</v>
      </c>
      <c r="E683" s="1">
        <v>0</v>
      </c>
      <c r="F683" s="1">
        <v>0</v>
      </c>
      <c r="G683" s="1">
        <v>0</v>
      </c>
      <c r="H683" s="1">
        <v>0</v>
      </c>
      <c r="I683" s="1">
        <v>0</v>
      </c>
      <c r="J683" s="1">
        <v>0</v>
      </c>
      <c r="K683" s="1">
        <v>0</v>
      </c>
      <c r="L683" s="1">
        <v>0</v>
      </c>
      <c r="M683" s="1">
        <v>0</v>
      </c>
      <c r="N683" s="1">
        <v>0</v>
      </c>
      <c r="O683" s="2">
        <v>960</v>
      </c>
      <c r="P683" s="29">
        <v>5170408.51</v>
      </c>
      <c r="Q683" s="1">
        <v>0</v>
      </c>
      <c r="R683" s="1">
        <v>0</v>
      </c>
      <c r="S683" s="29">
        <v>0</v>
      </c>
      <c r="T683" s="29">
        <v>0</v>
      </c>
      <c r="U683" s="29">
        <v>0</v>
      </c>
      <c r="V683" s="29">
        <v>0</v>
      </c>
      <c r="W683" s="1">
        <v>0</v>
      </c>
      <c r="X683" s="1">
        <v>0</v>
      </c>
      <c r="Y683" s="1">
        <v>0</v>
      </c>
      <c r="Z683" s="29">
        <v>404966.40000000002</v>
      </c>
      <c r="AA683" s="1">
        <v>0</v>
      </c>
    </row>
    <row r="684" spans="1:27" s="75" customFormat="1" ht="31.5" customHeight="1">
      <c r="A684" s="76">
        <v>275</v>
      </c>
      <c r="B684" s="121" t="s">
        <v>807</v>
      </c>
      <c r="C684" s="1">
        <f t="shared" si="232"/>
        <v>7994268.4900000002</v>
      </c>
      <c r="D684" s="1">
        <f t="shared" si="231"/>
        <v>0</v>
      </c>
      <c r="E684" s="1">
        <v>0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0</v>
      </c>
      <c r="L684" s="1">
        <v>0</v>
      </c>
      <c r="M684" s="1">
        <v>0</v>
      </c>
      <c r="N684" s="1">
        <v>0</v>
      </c>
      <c r="O684" s="2">
        <v>797</v>
      </c>
      <c r="P684" s="29">
        <v>7413606.1699999999</v>
      </c>
      <c r="Q684" s="1">
        <v>0</v>
      </c>
      <c r="R684" s="1">
        <v>0</v>
      </c>
      <c r="S684" s="29">
        <v>0</v>
      </c>
      <c r="T684" s="29">
        <v>0</v>
      </c>
      <c r="U684" s="29">
        <v>0</v>
      </c>
      <c r="V684" s="29">
        <v>0</v>
      </c>
      <c r="W684" s="1">
        <v>0</v>
      </c>
      <c r="X684" s="1">
        <v>0</v>
      </c>
      <c r="Y684" s="1">
        <v>0</v>
      </c>
      <c r="Z684" s="29">
        <v>580662.31999999995</v>
      </c>
      <c r="AA684" s="1">
        <v>0</v>
      </c>
    </row>
    <row r="685" spans="1:27" s="75" customFormat="1" ht="30" customHeight="1">
      <c r="A685" s="76">
        <v>276</v>
      </c>
      <c r="B685" s="121" t="s">
        <v>808</v>
      </c>
      <c r="C685" s="1">
        <f t="shared" si="232"/>
        <v>8596024.9900000002</v>
      </c>
      <c r="D685" s="1">
        <f t="shared" si="231"/>
        <v>0</v>
      </c>
      <c r="E685" s="1">
        <v>0</v>
      </c>
      <c r="F685" s="1">
        <v>0</v>
      </c>
      <c r="G685" s="1">
        <v>0</v>
      </c>
      <c r="H685" s="1">
        <v>0</v>
      </c>
      <c r="I685" s="1">
        <v>0</v>
      </c>
      <c r="J685" s="1">
        <v>0</v>
      </c>
      <c r="K685" s="1">
        <v>0</v>
      </c>
      <c r="L685" s="1">
        <v>0</v>
      </c>
      <c r="M685" s="1">
        <v>0</v>
      </c>
      <c r="N685" s="1">
        <v>0</v>
      </c>
      <c r="O685" s="2">
        <v>318</v>
      </c>
      <c r="P685" s="8">
        <v>1712697.82</v>
      </c>
      <c r="Q685" s="1">
        <v>0</v>
      </c>
      <c r="R685" s="1">
        <v>0</v>
      </c>
      <c r="S685" s="2">
        <v>1449</v>
      </c>
      <c r="T685" s="8">
        <v>6258956.3700000001</v>
      </c>
      <c r="U685" s="29">
        <v>0</v>
      </c>
      <c r="V685" s="29">
        <v>0</v>
      </c>
      <c r="W685" s="1">
        <v>0</v>
      </c>
      <c r="X685" s="1">
        <v>0</v>
      </c>
      <c r="Y685" s="1">
        <v>0</v>
      </c>
      <c r="Z685" s="8">
        <v>624370.80000000005</v>
      </c>
      <c r="AA685" s="1">
        <v>0</v>
      </c>
    </row>
    <row r="686" spans="1:27" s="75" customFormat="1" ht="31.5" customHeight="1">
      <c r="A686" s="76">
        <v>277</v>
      </c>
      <c r="B686" s="121" t="s">
        <v>531</v>
      </c>
      <c r="C686" s="1">
        <f t="shared" si="232"/>
        <v>7016841.4100000001</v>
      </c>
      <c r="D686" s="1">
        <f t="shared" si="231"/>
        <v>0</v>
      </c>
      <c r="E686" s="1">
        <v>0</v>
      </c>
      <c r="F686" s="1">
        <v>0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  <c r="N686" s="1">
        <v>0</v>
      </c>
      <c r="O686" s="2">
        <v>0</v>
      </c>
      <c r="P686" s="8">
        <v>0</v>
      </c>
      <c r="Q686" s="1">
        <v>0</v>
      </c>
      <c r="R686" s="1">
        <v>0</v>
      </c>
      <c r="S686" s="2">
        <v>0</v>
      </c>
      <c r="T686" s="29">
        <v>0</v>
      </c>
      <c r="U686" s="2">
        <v>700.4</v>
      </c>
      <c r="V686" s="29">
        <v>6507174.3399999999</v>
      </c>
      <c r="W686" s="1">
        <v>0</v>
      </c>
      <c r="X686" s="1">
        <v>0</v>
      </c>
      <c r="Y686" s="1">
        <v>0</v>
      </c>
      <c r="Z686" s="8">
        <v>509667.07</v>
      </c>
      <c r="AA686" s="1">
        <v>0</v>
      </c>
    </row>
    <row r="687" spans="1:27" s="75" customFormat="1" ht="30" customHeight="1">
      <c r="A687" s="76">
        <v>278</v>
      </c>
      <c r="B687" s="121" t="s">
        <v>535</v>
      </c>
      <c r="C687" s="1">
        <f t="shared" si="232"/>
        <v>3806377.72</v>
      </c>
      <c r="D687" s="1">
        <f t="shared" si="231"/>
        <v>0</v>
      </c>
      <c r="E687" s="1">
        <v>0</v>
      </c>
      <c r="F687" s="1">
        <v>0</v>
      </c>
      <c r="G687" s="1">
        <v>0</v>
      </c>
      <c r="H687" s="1">
        <v>0</v>
      </c>
      <c r="I687" s="1">
        <v>0</v>
      </c>
      <c r="J687" s="1">
        <v>0</v>
      </c>
      <c r="K687" s="1">
        <v>0</v>
      </c>
      <c r="L687" s="1">
        <v>0</v>
      </c>
      <c r="M687" s="1">
        <v>0</v>
      </c>
      <c r="N687" s="1">
        <v>0</v>
      </c>
      <c r="O687" s="1">
        <v>572.86</v>
      </c>
      <c r="P687" s="1">
        <v>3675133.72</v>
      </c>
      <c r="Q687" s="1">
        <v>0</v>
      </c>
      <c r="R687" s="1">
        <v>0</v>
      </c>
      <c r="S687" s="2">
        <v>0</v>
      </c>
      <c r="T687" s="29">
        <v>0</v>
      </c>
      <c r="U687" s="2">
        <v>0</v>
      </c>
      <c r="V687" s="2">
        <v>0</v>
      </c>
      <c r="W687" s="1">
        <v>0</v>
      </c>
      <c r="X687" s="1">
        <v>0</v>
      </c>
      <c r="Y687" s="1">
        <v>0</v>
      </c>
      <c r="Z687" s="1">
        <v>131244</v>
      </c>
      <c r="AA687" s="1">
        <v>0</v>
      </c>
    </row>
    <row r="688" spans="1:27" s="75" customFormat="1" ht="34.5" customHeight="1">
      <c r="A688" s="76">
        <v>279</v>
      </c>
      <c r="B688" s="121" t="s">
        <v>257</v>
      </c>
      <c r="C688" s="1">
        <f t="shared" si="232"/>
        <v>6390248.8399999999</v>
      </c>
      <c r="D688" s="1">
        <f t="shared" si="231"/>
        <v>0</v>
      </c>
      <c r="E688" s="1">
        <v>0</v>
      </c>
      <c r="F688" s="1">
        <v>0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0</v>
      </c>
      <c r="N688" s="1">
        <v>0</v>
      </c>
      <c r="O688" s="1">
        <v>700</v>
      </c>
      <c r="P688" s="5">
        <v>6254645.04</v>
      </c>
      <c r="Q688" s="1">
        <v>0</v>
      </c>
      <c r="R688" s="1">
        <v>0</v>
      </c>
      <c r="S688" s="2">
        <v>0</v>
      </c>
      <c r="T688" s="29">
        <v>0</v>
      </c>
      <c r="U688" s="2">
        <v>0</v>
      </c>
      <c r="V688" s="2">
        <v>0</v>
      </c>
      <c r="W688" s="1">
        <v>0</v>
      </c>
      <c r="X688" s="1">
        <v>0</v>
      </c>
      <c r="Y688" s="1">
        <v>0</v>
      </c>
      <c r="Z688" s="1">
        <v>135603.79999999999</v>
      </c>
      <c r="AA688" s="1">
        <v>0</v>
      </c>
    </row>
    <row r="689" spans="1:27" s="75" customFormat="1" ht="31.5" customHeight="1">
      <c r="A689" s="76">
        <v>280</v>
      </c>
      <c r="B689" s="121" t="s">
        <v>258</v>
      </c>
      <c r="C689" s="1">
        <f t="shared" si="232"/>
        <v>1039583</v>
      </c>
      <c r="D689" s="1">
        <f t="shared" si="231"/>
        <v>0</v>
      </c>
      <c r="E689" s="1">
        <v>0</v>
      </c>
      <c r="F689" s="1">
        <v>0</v>
      </c>
      <c r="G689" s="1">
        <v>0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  <c r="M689" s="1">
        <v>0</v>
      </c>
      <c r="N689" s="1">
        <v>0</v>
      </c>
      <c r="O689" s="1">
        <v>382.6</v>
      </c>
      <c r="P689" s="1">
        <v>964073</v>
      </c>
      <c r="Q689" s="1">
        <v>0</v>
      </c>
      <c r="R689" s="1">
        <v>0</v>
      </c>
      <c r="S689" s="2">
        <v>0</v>
      </c>
      <c r="T689" s="29">
        <v>0</v>
      </c>
      <c r="U689" s="2">
        <v>0</v>
      </c>
      <c r="V689" s="2">
        <v>0</v>
      </c>
      <c r="W689" s="1">
        <v>0</v>
      </c>
      <c r="X689" s="1">
        <v>0</v>
      </c>
      <c r="Y689" s="1">
        <v>0</v>
      </c>
      <c r="Z689" s="1">
        <v>75510</v>
      </c>
      <c r="AA689" s="1">
        <v>0</v>
      </c>
    </row>
    <row r="690" spans="1:27" s="75" customFormat="1" ht="32.25" customHeight="1">
      <c r="A690" s="76">
        <v>281</v>
      </c>
      <c r="B690" s="121" t="s">
        <v>259</v>
      </c>
      <c r="C690" s="1">
        <f t="shared" si="232"/>
        <v>6389537.4500000002</v>
      </c>
      <c r="D690" s="1">
        <f t="shared" si="231"/>
        <v>0</v>
      </c>
      <c r="E690" s="1">
        <v>0</v>
      </c>
      <c r="F690" s="1">
        <v>0</v>
      </c>
      <c r="G690" s="1">
        <v>0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  <c r="M690" s="1">
        <v>0</v>
      </c>
      <c r="N690" s="1">
        <v>0</v>
      </c>
      <c r="O690" s="1">
        <v>700</v>
      </c>
      <c r="P690" s="5">
        <v>6254645.04</v>
      </c>
      <c r="Q690" s="1">
        <v>0</v>
      </c>
      <c r="R690" s="1">
        <v>0</v>
      </c>
      <c r="S690" s="2">
        <v>0</v>
      </c>
      <c r="T690" s="29">
        <v>0</v>
      </c>
      <c r="U690" s="2">
        <v>0</v>
      </c>
      <c r="V690" s="2">
        <v>0</v>
      </c>
      <c r="W690" s="1">
        <v>0</v>
      </c>
      <c r="X690" s="1">
        <v>0</v>
      </c>
      <c r="Y690" s="1">
        <v>0</v>
      </c>
      <c r="Z690" s="1">
        <v>134892.41</v>
      </c>
      <c r="AA690" s="1">
        <v>0</v>
      </c>
    </row>
    <row r="691" spans="1:27" s="75" customFormat="1" ht="32.25" customHeight="1">
      <c r="A691" s="76">
        <v>282</v>
      </c>
      <c r="B691" s="121" t="s">
        <v>260</v>
      </c>
      <c r="C691" s="1">
        <f t="shared" si="232"/>
        <v>6529318.21</v>
      </c>
      <c r="D691" s="1">
        <f t="shared" si="231"/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0</v>
      </c>
      <c r="N691" s="1">
        <v>0</v>
      </c>
      <c r="O691" s="1">
        <v>715</v>
      </c>
      <c r="P691" s="5">
        <v>6388673.1500000004</v>
      </c>
      <c r="Q691" s="1">
        <v>0</v>
      </c>
      <c r="R691" s="1">
        <v>0</v>
      </c>
      <c r="S691" s="2">
        <v>0</v>
      </c>
      <c r="T691" s="29">
        <v>0</v>
      </c>
      <c r="U691" s="2">
        <v>0</v>
      </c>
      <c r="V691" s="2">
        <v>0</v>
      </c>
      <c r="W691" s="1">
        <v>0</v>
      </c>
      <c r="X691" s="1">
        <v>0</v>
      </c>
      <c r="Y691" s="1">
        <v>0</v>
      </c>
      <c r="Z691" s="1">
        <v>140645.06</v>
      </c>
      <c r="AA691" s="1">
        <v>0</v>
      </c>
    </row>
    <row r="692" spans="1:27" s="75" customFormat="1" ht="30" customHeight="1">
      <c r="A692" s="220">
        <v>283</v>
      </c>
      <c r="B692" s="221" t="s">
        <v>556</v>
      </c>
      <c r="C692" s="224">
        <f t="shared" si="232"/>
        <v>8658154.5199999996</v>
      </c>
      <c r="D692" s="1">
        <f t="shared" si="231"/>
        <v>0</v>
      </c>
      <c r="E692" s="1">
        <v>0</v>
      </c>
      <c r="F692" s="1">
        <v>0</v>
      </c>
      <c r="G692" s="1">
        <v>0</v>
      </c>
      <c r="H692" s="1">
        <v>0</v>
      </c>
      <c r="I692" s="1">
        <v>0</v>
      </c>
      <c r="J692" s="1">
        <v>0</v>
      </c>
      <c r="K692" s="1">
        <v>0</v>
      </c>
      <c r="L692" s="1">
        <v>0</v>
      </c>
      <c r="M692" s="1">
        <v>0</v>
      </c>
      <c r="N692" s="1">
        <v>0</v>
      </c>
      <c r="O692" s="1">
        <v>0</v>
      </c>
      <c r="P692" s="1">
        <v>0</v>
      </c>
      <c r="Q692" s="1">
        <v>0</v>
      </c>
      <c r="R692" s="1">
        <v>0</v>
      </c>
      <c r="S692" s="1">
        <v>797.3</v>
      </c>
      <c r="T692" s="1">
        <v>8029270.9500000002</v>
      </c>
      <c r="U692" s="2">
        <v>0</v>
      </c>
      <c r="V692" s="2">
        <v>0</v>
      </c>
      <c r="W692" s="1">
        <v>0</v>
      </c>
      <c r="X692" s="1">
        <v>0</v>
      </c>
      <c r="Y692" s="1">
        <v>0</v>
      </c>
      <c r="Z692" s="1">
        <v>628883.56999999995</v>
      </c>
      <c r="AA692" s="1">
        <v>0</v>
      </c>
    </row>
    <row r="693" spans="1:27" s="75" customFormat="1" ht="30" customHeight="1">
      <c r="A693" s="76">
        <v>284</v>
      </c>
      <c r="B693" s="124" t="s">
        <v>557</v>
      </c>
      <c r="C693" s="1">
        <f t="shared" si="232"/>
        <v>6988972.9099999992</v>
      </c>
      <c r="D693" s="1">
        <f t="shared" si="231"/>
        <v>0</v>
      </c>
      <c r="E693" s="1">
        <v>0</v>
      </c>
      <c r="F693" s="1">
        <v>0</v>
      </c>
      <c r="G693" s="1">
        <v>0</v>
      </c>
      <c r="H693" s="1">
        <v>0</v>
      </c>
      <c r="I693" s="1">
        <v>0</v>
      </c>
      <c r="J693" s="1">
        <v>0</v>
      </c>
      <c r="K693" s="1">
        <v>0</v>
      </c>
      <c r="L693" s="1">
        <v>0</v>
      </c>
      <c r="M693" s="1">
        <v>0</v>
      </c>
      <c r="N693" s="1">
        <v>0</v>
      </c>
      <c r="O693" s="1">
        <v>0</v>
      </c>
      <c r="P693" s="1">
        <v>0</v>
      </c>
      <c r="Q693" s="1">
        <v>0</v>
      </c>
      <c r="R693" s="1">
        <v>0</v>
      </c>
      <c r="S693" s="1">
        <v>0</v>
      </c>
      <c r="T693" s="1">
        <v>0</v>
      </c>
      <c r="U693" s="1">
        <v>726.2</v>
      </c>
      <c r="V693" s="1">
        <v>6481330.0599999996</v>
      </c>
      <c r="W693" s="1">
        <v>0</v>
      </c>
      <c r="X693" s="1">
        <v>0</v>
      </c>
      <c r="Y693" s="1">
        <v>0</v>
      </c>
      <c r="Z693" s="1">
        <v>507642.85</v>
      </c>
      <c r="AA693" s="1">
        <v>0</v>
      </c>
    </row>
    <row r="694" spans="1:27" s="75" customFormat="1" ht="27.75" customHeight="1">
      <c r="A694" s="76">
        <v>285</v>
      </c>
      <c r="B694" s="121" t="s">
        <v>809</v>
      </c>
      <c r="C694" s="1">
        <f t="shared" si="232"/>
        <v>6082244.7000000002</v>
      </c>
      <c r="D694" s="1">
        <f t="shared" si="231"/>
        <v>5640461.9000000004</v>
      </c>
      <c r="E694" s="1">
        <v>5640461.9000000004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0</v>
      </c>
      <c r="L694" s="1">
        <v>0</v>
      </c>
      <c r="M694" s="1">
        <v>0</v>
      </c>
      <c r="N694" s="1">
        <v>0</v>
      </c>
      <c r="O694" s="1">
        <v>0</v>
      </c>
      <c r="P694" s="1">
        <v>0</v>
      </c>
      <c r="Q694" s="1">
        <v>0</v>
      </c>
      <c r="R694" s="1">
        <v>0</v>
      </c>
      <c r="S694" s="1">
        <v>0</v>
      </c>
      <c r="T694" s="1">
        <v>0</v>
      </c>
      <c r="U694" s="2">
        <v>0</v>
      </c>
      <c r="V694" s="2">
        <v>0</v>
      </c>
      <c r="W694" s="1">
        <v>0</v>
      </c>
      <c r="X694" s="1">
        <v>0</v>
      </c>
      <c r="Y694" s="1">
        <v>0</v>
      </c>
      <c r="Z694" s="1">
        <v>441782.8</v>
      </c>
      <c r="AA694" s="1">
        <v>0</v>
      </c>
    </row>
    <row r="695" spans="1:27" s="75" customFormat="1" ht="27.75" customHeight="1">
      <c r="A695" s="76">
        <v>286</v>
      </c>
      <c r="B695" s="121" t="s">
        <v>477</v>
      </c>
      <c r="C695" s="1">
        <f t="shared" si="232"/>
        <v>2926280.5900000003</v>
      </c>
      <c r="D695" s="1">
        <f t="shared" si="231"/>
        <v>2713730.7</v>
      </c>
      <c r="E695" s="1">
        <v>0</v>
      </c>
      <c r="F695" s="1">
        <v>0</v>
      </c>
      <c r="G695" s="1">
        <v>0</v>
      </c>
      <c r="H695" s="1">
        <v>0</v>
      </c>
      <c r="I695" s="1">
        <v>2713730.7</v>
      </c>
      <c r="J695" s="1">
        <v>0</v>
      </c>
      <c r="K695" s="1">
        <v>0</v>
      </c>
      <c r="L695" s="1">
        <v>0</v>
      </c>
      <c r="M695" s="1">
        <v>0</v>
      </c>
      <c r="N695" s="1">
        <v>0</v>
      </c>
      <c r="O695" s="1">
        <v>0</v>
      </c>
      <c r="P695" s="1">
        <v>0</v>
      </c>
      <c r="Q695" s="1">
        <v>0</v>
      </c>
      <c r="R695" s="1">
        <v>0</v>
      </c>
      <c r="S695" s="1">
        <v>0</v>
      </c>
      <c r="T695" s="1">
        <v>0</v>
      </c>
      <c r="U695" s="2">
        <v>0</v>
      </c>
      <c r="V695" s="2">
        <v>0</v>
      </c>
      <c r="W695" s="1">
        <v>0</v>
      </c>
      <c r="X695" s="1">
        <v>0</v>
      </c>
      <c r="Y695" s="1">
        <v>0</v>
      </c>
      <c r="Z695" s="1">
        <v>212549.89</v>
      </c>
      <c r="AA695" s="1">
        <v>0</v>
      </c>
    </row>
    <row r="696" spans="1:27" s="75" customFormat="1" ht="32.25" customHeight="1">
      <c r="A696" s="76">
        <v>287</v>
      </c>
      <c r="B696" s="121" t="s">
        <v>261</v>
      </c>
      <c r="C696" s="1">
        <f>D696+L696+N696+P696+R696+T696+V696+X696+Y696+Z696+AA696</f>
        <v>1840183.3199999998</v>
      </c>
      <c r="D696" s="1">
        <f>E696+F696+G696+H696+I696+J696</f>
        <v>0</v>
      </c>
      <c r="E696" s="1">
        <v>0</v>
      </c>
      <c r="F696" s="1">
        <v>0</v>
      </c>
      <c r="G696" s="1">
        <v>0</v>
      </c>
      <c r="H696" s="1">
        <v>0</v>
      </c>
      <c r="I696" s="1">
        <v>0</v>
      </c>
      <c r="J696" s="1">
        <v>0</v>
      </c>
      <c r="K696" s="1">
        <v>0</v>
      </c>
      <c r="L696" s="1">
        <v>0</v>
      </c>
      <c r="M696" s="1">
        <v>0</v>
      </c>
      <c r="N696" s="1">
        <v>0</v>
      </c>
      <c r="O696" s="1">
        <v>488.6</v>
      </c>
      <c r="P696" s="5">
        <v>1706521.92</v>
      </c>
      <c r="Q696" s="1">
        <v>0</v>
      </c>
      <c r="R696" s="1">
        <v>0</v>
      </c>
      <c r="S696" s="1">
        <v>0</v>
      </c>
      <c r="T696" s="1">
        <v>0</v>
      </c>
      <c r="U696" s="2">
        <v>0</v>
      </c>
      <c r="V696" s="2">
        <v>0</v>
      </c>
      <c r="W696" s="1">
        <v>0</v>
      </c>
      <c r="X696" s="1">
        <v>0</v>
      </c>
      <c r="Y696" s="1">
        <v>0</v>
      </c>
      <c r="Z696" s="1">
        <v>133661.4</v>
      </c>
      <c r="AA696" s="1">
        <v>0</v>
      </c>
    </row>
    <row r="697" spans="1:27" s="75" customFormat="1" ht="31.5" customHeight="1">
      <c r="A697" s="158" t="s">
        <v>68</v>
      </c>
      <c r="B697" s="160"/>
      <c r="C697" s="1">
        <f>SUM(C698)</f>
        <v>5867103.1599999992</v>
      </c>
      <c r="D697" s="1">
        <f t="shared" ref="D697:AA697" si="233">SUM(D698)</f>
        <v>0</v>
      </c>
      <c r="E697" s="1">
        <f t="shared" si="233"/>
        <v>0</v>
      </c>
      <c r="F697" s="1">
        <f t="shared" si="233"/>
        <v>0</v>
      </c>
      <c r="G697" s="1">
        <f t="shared" si="233"/>
        <v>0</v>
      </c>
      <c r="H697" s="1">
        <f t="shared" si="233"/>
        <v>0</v>
      </c>
      <c r="I697" s="1">
        <f t="shared" si="233"/>
        <v>0</v>
      </c>
      <c r="J697" s="1">
        <f t="shared" si="233"/>
        <v>0</v>
      </c>
      <c r="K697" s="1">
        <f t="shared" si="233"/>
        <v>0</v>
      </c>
      <c r="L697" s="1">
        <f t="shared" si="233"/>
        <v>0</v>
      </c>
      <c r="M697" s="1">
        <f t="shared" si="233"/>
        <v>0</v>
      </c>
      <c r="N697" s="1">
        <f t="shared" si="233"/>
        <v>0</v>
      </c>
      <c r="O697" s="1">
        <f t="shared" si="233"/>
        <v>610</v>
      </c>
      <c r="P697" s="1">
        <f t="shared" si="233"/>
        <v>5686993.2699999996</v>
      </c>
      <c r="Q697" s="1">
        <f t="shared" si="233"/>
        <v>0</v>
      </c>
      <c r="R697" s="1">
        <f t="shared" si="233"/>
        <v>0</v>
      </c>
      <c r="S697" s="1">
        <f t="shared" si="233"/>
        <v>0</v>
      </c>
      <c r="T697" s="1">
        <f t="shared" si="233"/>
        <v>0</v>
      </c>
      <c r="U697" s="1">
        <f t="shared" si="233"/>
        <v>0</v>
      </c>
      <c r="V697" s="1">
        <f t="shared" si="233"/>
        <v>0</v>
      </c>
      <c r="W697" s="1">
        <f t="shared" si="233"/>
        <v>0</v>
      </c>
      <c r="X697" s="1">
        <f t="shared" si="233"/>
        <v>0</v>
      </c>
      <c r="Y697" s="1">
        <f t="shared" si="233"/>
        <v>0</v>
      </c>
      <c r="Z697" s="1">
        <f t="shared" si="233"/>
        <v>180109.89</v>
      </c>
      <c r="AA697" s="1">
        <f t="shared" si="233"/>
        <v>0</v>
      </c>
    </row>
    <row r="698" spans="1:27" s="75" customFormat="1" ht="31.5" customHeight="1">
      <c r="A698" s="76">
        <v>288</v>
      </c>
      <c r="B698" s="121" t="s">
        <v>71</v>
      </c>
      <c r="C698" s="1">
        <f t="shared" ref="C698" si="234">D698+L698+N698+P698+R698+T698+V698+X698+Y698+Z698+AA698</f>
        <v>5867103.1599999992</v>
      </c>
      <c r="D698" s="1">
        <f t="shared" ref="D698" si="235">E698+F698+G698+H698+I698+J698</f>
        <v>0</v>
      </c>
      <c r="E698" s="2">
        <v>0</v>
      </c>
      <c r="F698" s="2">
        <v>0</v>
      </c>
      <c r="G698" s="2">
        <v>0</v>
      </c>
      <c r="H698" s="2"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>
        <v>0</v>
      </c>
      <c r="O698" s="3">
        <v>610</v>
      </c>
      <c r="P698" s="1">
        <v>5686993.2699999996</v>
      </c>
      <c r="Q698" s="3">
        <v>0</v>
      </c>
      <c r="R698" s="3">
        <v>0</v>
      </c>
      <c r="S698" s="3">
        <v>0</v>
      </c>
      <c r="T698" s="3">
        <v>0</v>
      </c>
      <c r="U698" s="3">
        <v>0</v>
      </c>
      <c r="V698" s="3">
        <v>0</v>
      </c>
      <c r="W698" s="3">
        <v>0</v>
      </c>
      <c r="X698" s="3">
        <v>0</v>
      </c>
      <c r="Y698" s="3">
        <v>0</v>
      </c>
      <c r="Z698" s="1">
        <v>180109.89</v>
      </c>
      <c r="AA698" s="2">
        <v>0</v>
      </c>
    </row>
    <row r="699" spans="1:27" s="75" customFormat="1" ht="32.25" customHeight="1">
      <c r="A699" s="158" t="s">
        <v>97</v>
      </c>
      <c r="B699" s="160"/>
      <c r="C699" s="1">
        <f t="shared" ref="C699:AA699" si="236">SUM(C700:C714)</f>
        <v>63833714.910000004</v>
      </c>
      <c r="D699" s="1">
        <f t="shared" si="236"/>
        <v>15726388.859999999</v>
      </c>
      <c r="E699" s="1">
        <f t="shared" si="236"/>
        <v>0</v>
      </c>
      <c r="F699" s="1">
        <f t="shared" si="236"/>
        <v>6316170.3999999994</v>
      </c>
      <c r="G699" s="1">
        <f t="shared" si="236"/>
        <v>6461215.0199999996</v>
      </c>
      <c r="H699" s="1">
        <f t="shared" si="236"/>
        <v>828799.5</v>
      </c>
      <c r="I699" s="1">
        <f t="shared" si="236"/>
        <v>0</v>
      </c>
      <c r="J699" s="1">
        <f t="shared" si="236"/>
        <v>2120203.94</v>
      </c>
      <c r="K699" s="1">
        <f t="shared" si="236"/>
        <v>2</v>
      </c>
      <c r="L699" s="1">
        <f t="shared" si="236"/>
        <v>694718.49</v>
      </c>
      <c r="M699" s="1">
        <f t="shared" si="236"/>
        <v>0</v>
      </c>
      <c r="N699" s="1">
        <f t="shared" si="236"/>
        <v>0</v>
      </c>
      <c r="O699" s="1">
        <f t="shared" si="236"/>
        <v>5044.3</v>
      </c>
      <c r="P699" s="1">
        <f t="shared" si="236"/>
        <v>35627815.18</v>
      </c>
      <c r="Q699" s="1">
        <f t="shared" si="236"/>
        <v>0</v>
      </c>
      <c r="R699" s="1">
        <f t="shared" si="236"/>
        <v>0</v>
      </c>
      <c r="S699" s="1">
        <f t="shared" si="236"/>
        <v>1914.35</v>
      </c>
      <c r="T699" s="1">
        <f t="shared" si="236"/>
        <v>8374507.1799999997</v>
      </c>
      <c r="U699" s="1">
        <f t="shared" si="236"/>
        <v>0</v>
      </c>
      <c r="V699" s="1">
        <f t="shared" si="236"/>
        <v>0</v>
      </c>
      <c r="W699" s="1">
        <f t="shared" si="236"/>
        <v>0</v>
      </c>
      <c r="X699" s="1">
        <f t="shared" si="236"/>
        <v>0</v>
      </c>
      <c r="Y699" s="1">
        <f t="shared" si="236"/>
        <v>0</v>
      </c>
      <c r="Z699" s="1">
        <f t="shared" si="236"/>
        <v>3410285.1999999997</v>
      </c>
      <c r="AA699" s="1">
        <f t="shared" si="236"/>
        <v>0</v>
      </c>
    </row>
    <row r="700" spans="1:27" s="75" customFormat="1" ht="35.25" customHeight="1">
      <c r="A700" s="76">
        <v>289</v>
      </c>
      <c r="B700" s="121" t="s">
        <v>102</v>
      </c>
      <c r="C700" s="8">
        <f>D700+L700+N700+P700+R700+T700+V700+X700+Y700+Z700+AA700</f>
        <v>930734.22</v>
      </c>
      <c r="D700" s="8">
        <f>E700+F700+G700+H700+I700+J700</f>
        <v>863130.5</v>
      </c>
      <c r="E700" s="2">
        <v>0</v>
      </c>
      <c r="F700" s="2">
        <v>0</v>
      </c>
      <c r="G700" s="8">
        <v>863130.5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>
        <v>0</v>
      </c>
      <c r="O700" s="2">
        <v>0</v>
      </c>
      <c r="P700" s="2">
        <v>0</v>
      </c>
      <c r="Q700" s="2">
        <v>0</v>
      </c>
      <c r="R700" s="2">
        <v>0</v>
      </c>
      <c r="S700" s="2">
        <v>0</v>
      </c>
      <c r="T700" s="2">
        <v>0</v>
      </c>
      <c r="U700" s="2">
        <v>0</v>
      </c>
      <c r="V700" s="2">
        <v>0</v>
      </c>
      <c r="W700" s="2">
        <v>0</v>
      </c>
      <c r="X700" s="2">
        <v>0</v>
      </c>
      <c r="Y700" s="2">
        <v>0</v>
      </c>
      <c r="Z700" s="8">
        <v>67603.72</v>
      </c>
      <c r="AA700" s="2">
        <v>0</v>
      </c>
    </row>
    <row r="701" spans="1:27" s="75" customFormat="1" ht="31.5" customHeight="1">
      <c r="A701" s="220">
        <v>290</v>
      </c>
      <c r="B701" s="225" t="s">
        <v>104</v>
      </c>
      <c r="C701" s="222">
        <f t="shared" ref="C701:C714" si="237">D701+L701+N701+P701+R701+T701+V701+X701+Y701+Z701+AA701</f>
        <v>7146792.6099999994</v>
      </c>
      <c r="D701" s="8">
        <f t="shared" ref="D701:D714" si="238">E701+F701+G701+H701+I701+J701</f>
        <v>0</v>
      </c>
      <c r="E701" s="2">
        <v>0</v>
      </c>
      <c r="F701" s="2">
        <v>0</v>
      </c>
      <c r="G701" s="2">
        <v>0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>
        <v>0</v>
      </c>
      <c r="O701" s="1">
        <v>1244.0999999999999</v>
      </c>
      <c r="P701" s="1">
        <v>6683949.7599999998</v>
      </c>
      <c r="Q701" s="2">
        <v>0</v>
      </c>
      <c r="R701" s="2">
        <v>0</v>
      </c>
      <c r="S701" s="2">
        <v>0</v>
      </c>
      <c r="T701" s="2">
        <v>0</v>
      </c>
      <c r="U701" s="2">
        <v>0</v>
      </c>
      <c r="V701" s="2">
        <v>0</v>
      </c>
      <c r="W701" s="2">
        <v>0</v>
      </c>
      <c r="X701" s="2">
        <v>0</v>
      </c>
      <c r="Y701" s="2">
        <v>0</v>
      </c>
      <c r="Z701" s="5">
        <v>462842.85</v>
      </c>
      <c r="AA701" s="2">
        <v>0</v>
      </c>
    </row>
    <row r="702" spans="1:27" s="75" customFormat="1" ht="30" customHeight="1">
      <c r="A702" s="220">
        <v>291</v>
      </c>
      <c r="B702" s="225" t="s">
        <v>811</v>
      </c>
      <c r="C702" s="222">
        <f t="shared" si="237"/>
        <v>4485567.87</v>
      </c>
      <c r="D702" s="8">
        <f t="shared" si="238"/>
        <v>0</v>
      </c>
      <c r="E702" s="2">
        <v>0</v>
      </c>
      <c r="F702" s="2">
        <v>0</v>
      </c>
      <c r="G702" s="2">
        <v>0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>
        <v>0</v>
      </c>
      <c r="O702" s="1">
        <v>265.39999999999998</v>
      </c>
      <c r="P702" s="1">
        <v>2462212.23</v>
      </c>
      <c r="Q702" s="2">
        <v>0</v>
      </c>
      <c r="R702" s="2">
        <v>0</v>
      </c>
      <c r="S702" s="1">
        <v>405.2</v>
      </c>
      <c r="T702" s="1">
        <v>1743293.1</v>
      </c>
      <c r="U702" s="2">
        <v>0</v>
      </c>
      <c r="V702" s="2">
        <v>0</v>
      </c>
      <c r="W702" s="2">
        <v>0</v>
      </c>
      <c r="X702" s="2">
        <v>0</v>
      </c>
      <c r="Y702" s="2">
        <v>0</v>
      </c>
      <c r="Z702" s="5">
        <f>111036.62+169025.92</f>
        <v>280062.54000000004</v>
      </c>
      <c r="AA702" s="2">
        <v>0</v>
      </c>
    </row>
    <row r="703" spans="1:27" s="75" customFormat="1" ht="32.25" customHeight="1">
      <c r="A703" s="220">
        <v>292</v>
      </c>
      <c r="B703" s="225" t="s">
        <v>105</v>
      </c>
      <c r="C703" s="222">
        <f t="shared" si="237"/>
        <v>6829150.0199999996</v>
      </c>
      <c r="D703" s="8">
        <f t="shared" si="238"/>
        <v>0</v>
      </c>
      <c r="E703" s="2">
        <v>0</v>
      </c>
      <c r="F703" s="2">
        <v>0</v>
      </c>
      <c r="G703" s="2">
        <v>0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>
        <v>0</v>
      </c>
      <c r="O703" s="1">
        <v>450.75</v>
      </c>
      <c r="P703" s="1">
        <v>4167520.39</v>
      </c>
      <c r="Q703" s="2">
        <v>0</v>
      </c>
      <c r="R703" s="2">
        <v>0</v>
      </c>
      <c r="S703" s="1">
        <v>526.15</v>
      </c>
      <c r="T703" s="1">
        <v>2267877.0299999998</v>
      </c>
      <c r="U703" s="2">
        <v>0</v>
      </c>
      <c r="V703" s="2">
        <v>0</v>
      </c>
      <c r="W703" s="2">
        <v>0</v>
      </c>
      <c r="X703" s="2">
        <v>0</v>
      </c>
      <c r="Y703" s="2">
        <v>0</v>
      </c>
      <c r="Z703" s="5">
        <v>393752.6</v>
      </c>
      <c r="AA703" s="2">
        <v>0</v>
      </c>
    </row>
    <row r="704" spans="1:27" s="75" customFormat="1" ht="42" customHeight="1">
      <c r="A704" s="220">
        <v>293</v>
      </c>
      <c r="B704" s="225" t="s">
        <v>538</v>
      </c>
      <c r="C704" s="222">
        <f t="shared" si="237"/>
        <v>10500428.189999999</v>
      </c>
      <c r="D704" s="8">
        <f t="shared" si="238"/>
        <v>0</v>
      </c>
      <c r="E704" s="2">
        <v>0</v>
      </c>
      <c r="F704" s="2">
        <v>0</v>
      </c>
      <c r="G704" s="2">
        <v>0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>
        <v>0</v>
      </c>
      <c r="O704" s="1">
        <v>1052.5999999999999</v>
      </c>
      <c r="P704" s="1">
        <v>9779008.0800000001</v>
      </c>
      <c r="Q704" s="2">
        <v>0</v>
      </c>
      <c r="R704" s="2">
        <v>0</v>
      </c>
      <c r="S704" s="2">
        <v>0</v>
      </c>
      <c r="T704" s="2">
        <v>0</v>
      </c>
      <c r="U704" s="2">
        <v>0</v>
      </c>
      <c r="V704" s="2">
        <v>0</v>
      </c>
      <c r="W704" s="2">
        <v>0</v>
      </c>
      <c r="X704" s="2">
        <v>0</v>
      </c>
      <c r="Y704" s="2">
        <v>0</v>
      </c>
      <c r="Z704" s="5">
        <v>721420.11</v>
      </c>
      <c r="AA704" s="2">
        <v>0</v>
      </c>
    </row>
    <row r="705" spans="1:27" s="75" customFormat="1" ht="32.25" customHeight="1">
      <c r="A705" s="220">
        <v>294</v>
      </c>
      <c r="B705" s="225" t="s">
        <v>539</v>
      </c>
      <c r="C705" s="222">
        <f t="shared" si="237"/>
        <v>3913327.31</v>
      </c>
      <c r="D705" s="8">
        <f t="shared" si="238"/>
        <v>0</v>
      </c>
      <c r="E705" s="2">
        <v>0</v>
      </c>
      <c r="F705" s="2">
        <v>0</v>
      </c>
      <c r="G705" s="2">
        <v>0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>
        <v>0</v>
      </c>
      <c r="O705" s="1">
        <v>393.75</v>
      </c>
      <c r="P705" s="1">
        <v>3654987.22</v>
      </c>
      <c r="Q705" s="2">
        <v>0</v>
      </c>
      <c r="R705" s="2">
        <v>0</v>
      </c>
      <c r="S705" s="2">
        <v>0</v>
      </c>
      <c r="T705" s="2">
        <v>0</v>
      </c>
      <c r="U705" s="2">
        <v>0</v>
      </c>
      <c r="V705" s="2">
        <v>0</v>
      </c>
      <c r="W705" s="2">
        <v>0</v>
      </c>
      <c r="X705" s="2">
        <v>0</v>
      </c>
      <c r="Y705" s="2">
        <v>0</v>
      </c>
      <c r="Z705" s="5">
        <v>258340.09</v>
      </c>
      <c r="AA705" s="2">
        <v>0</v>
      </c>
    </row>
    <row r="706" spans="1:27" s="75" customFormat="1" ht="27" customHeight="1">
      <c r="A706" s="76">
        <v>295</v>
      </c>
      <c r="B706" s="121" t="s">
        <v>114</v>
      </c>
      <c r="C706" s="8">
        <f t="shared" si="237"/>
        <v>2905442.4899999998</v>
      </c>
      <c r="D706" s="8">
        <f t="shared" si="238"/>
        <v>0</v>
      </c>
      <c r="E706" s="2">
        <v>0</v>
      </c>
      <c r="F706" s="2">
        <v>0</v>
      </c>
      <c r="G706" s="2">
        <v>0</v>
      </c>
      <c r="H706" s="2"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>
        <v>0</v>
      </c>
      <c r="O706" s="1">
        <v>442.9</v>
      </c>
      <c r="P706" s="1">
        <v>2841386.59</v>
      </c>
      <c r="Q706" s="2">
        <v>0</v>
      </c>
      <c r="R706" s="2">
        <v>0</v>
      </c>
      <c r="S706" s="2">
        <v>0</v>
      </c>
      <c r="T706" s="2">
        <v>0</v>
      </c>
      <c r="U706" s="2">
        <v>0</v>
      </c>
      <c r="V706" s="2">
        <v>0</v>
      </c>
      <c r="W706" s="2">
        <v>0</v>
      </c>
      <c r="X706" s="2">
        <v>0</v>
      </c>
      <c r="Y706" s="2">
        <v>0</v>
      </c>
      <c r="Z706" s="1">
        <v>64055.9</v>
      </c>
      <c r="AA706" s="2">
        <v>0</v>
      </c>
    </row>
    <row r="707" spans="1:27" s="75" customFormat="1" ht="29.25" customHeight="1">
      <c r="A707" s="76">
        <v>296</v>
      </c>
      <c r="B707" s="121" t="s">
        <v>106</v>
      </c>
      <c r="C707" s="8">
        <v>2839379.45</v>
      </c>
      <c r="D707" s="8">
        <v>1340131.3400000001</v>
      </c>
      <c r="E707" s="8">
        <v>0</v>
      </c>
      <c r="F707" s="8">
        <v>0</v>
      </c>
      <c r="G707" s="8">
        <v>668546.54</v>
      </c>
      <c r="H707" s="8">
        <v>467684.76</v>
      </c>
      <c r="I707" s="8">
        <v>0</v>
      </c>
      <c r="J707" s="8">
        <v>203900.04</v>
      </c>
      <c r="K707" s="8">
        <v>0</v>
      </c>
      <c r="L707" s="8">
        <v>0</v>
      </c>
      <c r="M707" s="8">
        <v>0</v>
      </c>
      <c r="N707" s="8">
        <v>0</v>
      </c>
      <c r="O707" s="8">
        <v>0</v>
      </c>
      <c r="P707" s="8">
        <v>0</v>
      </c>
      <c r="Q707" s="8">
        <v>0</v>
      </c>
      <c r="R707" s="8">
        <v>0</v>
      </c>
      <c r="S707" s="8">
        <v>468</v>
      </c>
      <c r="T707" s="8">
        <v>1372381.64</v>
      </c>
      <c r="U707" s="8">
        <v>0</v>
      </c>
      <c r="V707" s="8">
        <v>0</v>
      </c>
      <c r="W707" s="8">
        <v>0</v>
      </c>
      <c r="X707" s="8">
        <v>0</v>
      </c>
      <c r="Y707" s="8">
        <v>0</v>
      </c>
      <c r="Z707" s="8">
        <v>126866.47</v>
      </c>
      <c r="AA707" s="8">
        <v>0</v>
      </c>
    </row>
    <row r="708" spans="1:27" s="75" customFormat="1" ht="32.25" customHeight="1">
      <c r="A708" s="76">
        <v>297</v>
      </c>
      <c r="B708" s="121" t="s">
        <v>108</v>
      </c>
      <c r="C708" s="8">
        <f t="shared" si="237"/>
        <v>1234688.3899999999</v>
      </c>
      <c r="D708" s="8">
        <f t="shared" si="238"/>
        <v>1193644.3999999999</v>
      </c>
      <c r="E708" s="2">
        <v>0</v>
      </c>
      <c r="F708" s="2">
        <v>0</v>
      </c>
      <c r="G708" s="1">
        <v>832529.66</v>
      </c>
      <c r="H708" s="1">
        <v>361114.74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>
        <v>0</v>
      </c>
      <c r="O708" s="2">
        <v>0</v>
      </c>
      <c r="P708" s="2">
        <v>0</v>
      </c>
      <c r="Q708" s="2">
        <v>0</v>
      </c>
      <c r="R708" s="2">
        <v>0</v>
      </c>
      <c r="S708" s="2">
        <v>0</v>
      </c>
      <c r="T708" s="2">
        <v>0</v>
      </c>
      <c r="U708" s="2">
        <v>0</v>
      </c>
      <c r="V708" s="2">
        <v>0</v>
      </c>
      <c r="W708" s="2">
        <v>0</v>
      </c>
      <c r="X708" s="2">
        <v>0</v>
      </c>
      <c r="Y708" s="2">
        <v>0</v>
      </c>
      <c r="Z708" s="1">
        <v>41043.99</v>
      </c>
      <c r="AA708" s="2">
        <v>0</v>
      </c>
    </row>
    <row r="709" spans="1:27" s="75" customFormat="1" ht="33.75" customHeight="1">
      <c r="A709" s="76">
        <v>298</v>
      </c>
      <c r="B709" s="121" t="s">
        <v>540</v>
      </c>
      <c r="C709" s="8">
        <f t="shared" si="237"/>
        <v>2029840.7999999998</v>
      </c>
      <c r="D709" s="8">
        <f t="shared" si="238"/>
        <v>1916303.9</v>
      </c>
      <c r="E709" s="2">
        <v>0</v>
      </c>
      <c r="F709" s="2">
        <v>0</v>
      </c>
      <c r="G709" s="2">
        <v>0</v>
      </c>
      <c r="H709" s="2">
        <v>0</v>
      </c>
      <c r="I709" s="2">
        <v>0</v>
      </c>
      <c r="J709" s="5">
        <v>1916303.9</v>
      </c>
      <c r="K709" s="2">
        <v>0</v>
      </c>
      <c r="L709" s="2">
        <v>0</v>
      </c>
      <c r="M709" s="2">
        <v>0</v>
      </c>
      <c r="N709" s="2">
        <v>0</v>
      </c>
      <c r="O709" s="2">
        <v>0</v>
      </c>
      <c r="P709" s="2">
        <v>0</v>
      </c>
      <c r="Q709" s="2">
        <v>0</v>
      </c>
      <c r="R709" s="2">
        <v>0</v>
      </c>
      <c r="S709" s="2">
        <v>0</v>
      </c>
      <c r="T709" s="2">
        <v>0</v>
      </c>
      <c r="U709" s="2">
        <v>0</v>
      </c>
      <c r="V709" s="2">
        <v>0</v>
      </c>
      <c r="W709" s="2">
        <v>0</v>
      </c>
      <c r="X709" s="2">
        <v>0</v>
      </c>
      <c r="Y709" s="2">
        <v>0</v>
      </c>
      <c r="Z709" s="28">
        <v>113536.9</v>
      </c>
      <c r="AA709" s="2">
        <v>0</v>
      </c>
    </row>
    <row r="710" spans="1:27" s="75" customFormat="1" ht="36" customHeight="1">
      <c r="A710" s="76">
        <v>299</v>
      </c>
      <c r="B710" s="121" t="s">
        <v>109</v>
      </c>
      <c r="C710" s="8">
        <v>6566002.7599999998</v>
      </c>
      <c r="D710" s="8">
        <v>2737147.5199999996</v>
      </c>
      <c r="E710" s="8">
        <v>0</v>
      </c>
      <c r="F710" s="8">
        <v>1133289.8799999999</v>
      </c>
      <c r="G710" s="8">
        <v>1603857.64</v>
      </c>
      <c r="H710" s="8">
        <v>0</v>
      </c>
      <c r="I710" s="8">
        <v>0</v>
      </c>
      <c r="J710" s="8">
        <v>0</v>
      </c>
      <c r="K710" s="8">
        <v>1</v>
      </c>
      <c r="L710" s="8">
        <v>328781.51</v>
      </c>
      <c r="M710" s="8">
        <v>0</v>
      </c>
      <c r="N710" s="8">
        <v>0</v>
      </c>
      <c r="O710" s="8">
        <v>628</v>
      </c>
      <c r="P710" s="8">
        <v>3248889.55</v>
      </c>
      <c r="Q710" s="8">
        <v>0</v>
      </c>
      <c r="R710" s="8">
        <v>0</v>
      </c>
      <c r="S710" s="8">
        <v>0</v>
      </c>
      <c r="T710" s="8">
        <v>0</v>
      </c>
      <c r="U710" s="8">
        <v>0</v>
      </c>
      <c r="V710" s="8">
        <v>0</v>
      </c>
      <c r="W710" s="8">
        <v>0</v>
      </c>
      <c r="X710" s="8">
        <v>0</v>
      </c>
      <c r="Y710" s="8">
        <v>0</v>
      </c>
      <c r="Z710" s="8">
        <v>251184.18</v>
      </c>
      <c r="AA710" s="8">
        <v>0</v>
      </c>
    </row>
    <row r="711" spans="1:27" s="75" customFormat="1" ht="34.5" customHeight="1">
      <c r="A711" s="76">
        <v>300</v>
      </c>
      <c r="B711" s="121" t="s">
        <v>110</v>
      </c>
      <c r="C711" s="8">
        <f t="shared" si="237"/>
        <v>2901725.36</v>
      </c>
      <c r="D711" s="8">
        <f t="shared" si="238"/>
        <v>0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>
        <v>0</v>
      </c>
      <c r="O711" s="8">
        <v>566.79999999999995</v>
      </c>
      <c r="P711" s="8">
        <v>2789861.36</v>
      </c>
      <c r="Q711" s="2">
        <v>0</v>
      </c>
      <c r="R711" s="2">
        <v>0</v>
      </c>
      <c r="S711" s="2">
        <v>0</v>
      </c>
      <c r="T711" s="2">
        <v>0</v>
      </c>
      <c r="U711" s="2">
        <v>0</v>
      </c>
      <c r="V711" s="2">
        <v>0</v>
      </c>
      <c r="W711" s="2">
        <v>0</v>
      </c>
      <c r="X711" s="2">
        <v>0</v>
      </c>
      <c r="Y711" s="2">
        <v>0</v>
      </c>
      <c r="Z711" s="8">
        <v>111864</v>
      </c>
      <c r="AA711" s="2">
        <v>0</v>
      </c>
    </row>
    <row r="712" spans="1:27" s="75" customFormat="1" ht="32.25" customHeight="1">
      <c r="A712" s="76">
        <v>301</v>
      </c>
      <c r="B712" s="121" t="s">
        <v>864</v>
      </c>
      <c r="C712" s="8">
        <f t="shared" si="237"/>
        <v>2028604.0299999998</v>
      </c>
      <c r="D712" s="8">
        <f t="shared" si="238"/>
        <v>1577786.8099999998</v>
      </c>
      <c r="E712" s="2">
        <v>0</v>
      </c>
      <c r="F712" s="8">
        <f>1641064.9-63278.09</f>
        <v>1577786.8099999998</v>
      </c>
      <c r="G712" s="2">
        <v>0</v>
      </c>
      <c r="H712" s="2">
        <v>0</v>
      </c>
      <c r="I712" s="2">
        <v>0</v>
      </c>
      <c r="J712" s="2">
        <v>0</v>
      </c>
      <c r="K712" s="58">
        <v>1</v>
      </c>
      <c r="L712" s="8">
        <f>387539.13-21602.15</f>
        <v>365936.98</v>
      </c>
      <c r="M712" s="2">
        <v>0</v>
      </c>
      <c r="N712" s="2">
        <v>0</v>
      </c>
      <c r="O712" s="2">
        <v>0</v>
      </c>
      <c r="P712" s="2">
        <v>0</v>
      </c>
      <c r="Q712" s="2">
        <v>0</v>
      </c>
      <c r="R712" s="2">
        <v>0</v>
      </c>
      <c r="S712" s="2">
        <v>0</v>
      </c>
      <c r="T712" s="2">
        <v>0</v>
      </c>
      <c r="U712" s="2">
        <v>0</v>
      </c>
      <c r="V712" s="2">
        <v>0</v>
      </c>
      <c r="W712" s="2">
        <v>0</v>
      </c>
      <c r="X712" s="2">
        <v>0</v>
      </c>
      <c r="Y712" s="2">
        <v>0</v>
      </c>
      <c r="Z712" s="8">
        <f>63278.09+21602.15</f>
        <v>84880.239999999991</v>
      </c>
      <c r="AA712" s="2">
        <v>0</v>
      </c>
    </row>
    <row r="713" spans="1:27" s="75" customFormat="1" ht="54.75" customHeight="1">
      <c r="A713" s="76">
        <v>302</v>
      </c>
      <c r="B713" s="121" t="s">
        <v>115</v>
      </c>
      <c r="C713" s="8">
        <f t="shared" si="237"/>
        <v>3090533.27</v>
      </c>
      <c r="D713" s="8">
        <f t="shared" si="238"/>
        <v>0</v>
      </c>
      <c r="E713" s="2">
        <v>0</v>
      </c>
      <c r="F713" s="2">
        <v>0</v>
      </c>
      <c r="G713" s="2">
        <v>0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>
        <v>0</v>
      </c>
      <c r="O713" s="8">
        <v>0</v>
      </c>
      <c r="P713" s="8">
        <v>0</v>
      </c>
      <c r="Q713" s="2">
        <v>0</v>
      </c>
      <c r="R713" s="2">
        <v>0</v>
      </c>
      <c r="S713" s="8">
        <v>515</v>
      </c>
      <c r="T713" s="8">
        <v>2990955.41</v>
      </c>
      <c r="U713" s="2">
        <v>0</v>
      </c>
      <c r="V713" s="2">
        <v>0</v>
      </c>
      <c r="W713" s="2">
        <v>0</v>
      </c>
      <c r="X713" s="2">
        <v>0</v>
      </c>
      <c r="Y713" s="2">
        <v>0</v>
      </c>
      <c r="Z713" s="8">
        <v>99577.86</v>
      </c>
      <c r="AA713" s="2">
        <v>0</v>
      </c>
    </row>
    <row r="714" spans="1:27" s="75" customFormat="1" ht="44.25" customHeight="1">
      <c r="A714" s="220">
        <v>303</v>
      </c>
      <c r="B714" s="221" t="s">
        <v>113</v>
      </c>
      <c r="C714" s="222">
        <f t="shared" si="237"/>
        <v>6431498.1400000006</v>
      </c>
      <c r="D714" s="8">
        <f t="shared" si="238"/>
        <v>6098244.3900000006</v>
      </c>
      <c r="E714" s="2">
        <v>0</v>
      </c>
      <c r="F714" s="8">
        <v>3605093.71</v>
      </c>
      <c r="G714" s="8">
        <v>2493150.6800000002</v>
      </c>
      <c r="H714" s="2">
        <v>0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  <c r="N714" s="2">
        <v>0</v>
      </c>
      <c r="O714" s="2">
        <v>0</v>
      </c>
      <c r="P714" s="2">
        <v>0</v>
      </c>
      <c r="Q714" s="2">
        <v>0</v>
      </c>
      <c r="R714" s="2">
        <v>0</v>
      </c>
      <c r="S714" s="2">
        <v>0</v>
      </c>
      <c r="T714" s="2">
        <v>0</v>
      </c>
      <c r="U714" s="2">
        <v>0</v>
      </c>
      <c r="V714" s="2">
        <v>0</v>
      </c>
      <c r="W714" s="2">
        <v>0</v>
      </c>
      <c r="X714" s="2">
        <v>0</v>
      </c>
      <c r="Y714" s="2">
        <v>0</v>
      </c>
      <c r="Z714" s="8">
        <v>333253.75</v>
      </c>
      <c r="AA714" s="2">
        <v>0</v>
      </c>
    </row>
    <row r="715" spans="1:27" s="75" customFormat="1" ht="37.5" customHeight="1">
      <c r="A715" s="158" t="s">
        <v>186</v>
      </c>
      <c r="B715" s="160"/>
      <c r="C715" s="8">
        <f>SUM(C716:C726)</f>
        <v>56041143.729999997</v>
      </c>
      <c r="D715" s="8">
        <f t="shared" ref="D715:AA715" si="239">SUM(D716:D726)</f>
        <v>3384424.4</v>
      </c>
      <c r="E715" s="8">
        <f t="shared" si="239"/>
        <v>468327</v>
      </c>
      <c r="F715" s="8">
        <f t="shared" si="239"/>
        <v>2916097.4</v>
      </c>
      <c r="G715" s="8">
        <f t="shared" si="239"/>
        <v>0</v>
      </c>
      <c r="H715" s="8">
        <f t="shared" si="239"/>
        <v>0</v>
      </c>
      <c r="I715" s="8">
        <f t="shared" si="239"/>
        <v>0</v>
      </c>
      <c r="J715" s="8">
        <f t="shared" si="239"/>
        <v>0</v>
      </c>
      <c r="K715" s="8">
        <f t="shared" si="239"/>
        <v>0</v>
      </c>
      <c r="L715" s="8">
        <f t="shared" si="239"/>
        <v>0</v>
      </c>
      <c r="M715" s="8">
        <f t="shared" si="239"/>
        <v>0</v>
      </c>
      <c r="N715" s="8">
        <f t="shared" si="239"/>
        <v>0</v>
      </c>
      <c r="O715" s="8">
        <f t="shared" si="239"/>
        <v>4723.1000000000004</v>
      </c>
      <c r="P715" s="8">
        <f t="shared" si="239"/>
        <v>44511489.169999987</v>
      </c>
      <c r="Q715" s="8">
        <f t="shared" si="239"/>
        <v>0</v>
      </c>
      <c r="R715" s="8">
        <f t="shared" si="239"/>
        <v>0</v>
      </c>
      <c r="S715" s="8">
        <f t="shared" si="239"/>
        <v>1350</v>
      </c>
      <c r="T715" s="8">
        <f t="shared" si="239"/>
        <v>5601051.1799999997</v>
      </c>
      <c r="U715" s="8">
        <f t="shared" si="239"/>
        <v>0</v>
      </c>
      <c r="V715" s="8">
        <f t="shared" si="239"/>
        <v>0</v>
      </c>
      <c r="W715" s="8">
        <f t="shared" si="239"/>
        <v>0</v>
      </c>
      <c r="X715" s="8">
        <f t="shared" si="239"/>
        <v>0</v>
      </c>
      <c r="Y715" s="8">
        <f t="shared" si="239"/>
        <v>0</v>
      </c>
      <c r="Z715" s="8">
        <f t="shared" si="239"/>
        <v>2544178.98</v>
      </c>
      <c r="AA715" s="8">
        <f t="shared" si="239"/>
        <v>0</v>
      </c>
    </row>
    <row r="716" spans="1:27" s="75" customFormat="1" ht="31.5" customHeight="1">
      <c r="A716" s="76">
        <v>304</v>
      </c>
      <c r="B716" s="129" t="s">
        <v>189</v>
      </c>
      <c r="C716" s="1">
        <f t="shared" ref="C716:C733" si="240">D716+L716+N716+P716+R716+T716+V716+X716+Y716+Z716+AA716</f>
        <v>7862378.7999999998</v>
      </c>
      <c r="D716" s="1">
        <f>E716+F716+G716+H716+I716+J716</f>
        <v>0</v>
      </c>
      <c r="E716" s="2">
        <v>0</v>
      </c>
      <c r="F716" s="2">
        <v>0</v>
      </c>
      <c r="G716" s="2">
        <v>0</v>
      </c>
      <c r="H716" s="2">
        <v>0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2">
        <v>0</v>
      </c>
      <c r="O716" s="8">
        <v>811</v>
      </c>
      <c r="P716" s="8">
        <v>7543832.6299999999</v>
      </c>
      <c r="Q716" s="2">
        <v>0</v>
      </c>
      <c r="R716" s="2">
        <v>0</v>
      </c>
      <c r="S716" s="2">
        <v>0</v>
      </c>
      <c r="T716" s="2">
        <v>0</v>
      </c>
      <c r="U716" s="2">
        <v>0</v>
      </c>
      <c r="V716" s="2">
        <v>0</v>
      </c>
      <c r="W716" s="2">
        <v>0</v>
      </c>
      <c r="X716" s="2">
        <v>0</v>
      </c>
      <c r="Y716" s="2">
        <v>0</v>
      </c>
      <c r="Z716" s="8">
        <v>318546.17</v>
      </c>
      <c r="AA716" s="2">
        <v>0</v>
      </c>
    </row>
    <row r="717" spans="1:27" s="75" customFormat="1" ht="34.5" customHeight="1">
      <c r="A717" s="220">
        <v>305</v>
      </c>
      <c r="B717" s="221" t="s">
        <v>190</v>
      </c>
      <c r="C717" s="224">
        <f t="shared" si="240"/>
        <v>6316115.5899999999</v>
      </c>
      <c r="D717" s="1">
        <f t="shared" ref="D717:D726" si="241">E717+F717+G717+H717+I717+J717</f>
        <v>0</v>
      </c>
      <c r="E717" s="2">
        <v>0</v>
      </c>
      <c r="F717" s="2">
        <v>0</v>
      </c>
      <c r="G717" s="2">
        <v>0</v>
      </c>
      <c r="H717" s="2">
        <v>0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2">
        <v>0</v>
      </c>
      <c r="O717" s="8">
        <v>433</v>
      </c>
      <c r="P717" s="8">
        <v>6000649.1100000003</v>
      </c>
      <c r="Q717" s="2">
        <v>0</v>
      </c>
      <c r="R717" s="2">
        <v>0</v>
      </c>
      <c r="S717" s="2">
        <v>0</v>
      </c>
      <c r="T717" s="2">
        <v>0</v>
      </c>
      <c r="U717" s="2">
        <v>0</v>
      </c>
      <c r="V717" s="2">
        <v>0</v>
      </c>
      <c r="W717" s="2">
        <v>0</v>
      </c>
      <c r="X717" s="2">
        <v>0</v>
      </c>
      <c r="Y717" s="2">
        <v>0</v>
      </c>
      <c r="Z717" s="8">
        <v>315466.48</v>
      </c>
      <c r="AA717" s="2">
        <v>0</v>
      </c>
    </row>
    <row r="718" spans="1:27" s="75" customFormat="1" ht="31.5" customHeight="1">
      <c r="A718" s="220">
        <v>306</v>
      </c>
      <c r="B718" s="221" t="s">
        <v>191</v>
      </c>
      <c r="C718" s="224">
        <f t="shared" si="240"/>
        <v>5896703.4500000002</v>
      </c>
      <c r="D718" s="1">
        <f t="shared" si="241"/>
        <v>0</v>
      </c>
      <c r="E718" s="2">
        <v>0</v>
      </c>
      <c r="F718" s="2">
        <v>0</v>
      </c>
      <c r="G718" s="2">
        <v>0</v>
      </c>
      <c r="H718" s="2">
        <v>0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2">
        <v>0</v>
      </c>
      <c r="O718" s="8">
        <v>512.29999999999995</v>
      </c>
      <c r="P718" s="8">
        <v>5523462.1600000001</v>
      </c>
      <c r="Q718" s="2">
        <v>0</v>
      </c>
      <c r="R718" s="2">
        <v>0</v>
      </c>
      <c r="S718" s="2">
        <v>0</v>
      </c>
      <c r="T718" s="2">
        <v>0</v>
      </c>
      <c r="U718" s="2">
        <v>0</v>
      </c>
      <c r="V718" s="2">
        <v>0</v>
      </c>
      <c r="W718" s="2">
        <v>0</v>
      </c>
      <c r="X718" s="2">
        <v>0</v>
      </c>
      <c r="Y718" s="2">
        <v>0</v>
      </c>
      <c r="Z718" s="8">
        <v>373241.29</v>
      </c>
      <c r="AA718" s="2">
        <v>0</v>
      </c>
    </row>
    <row r="719" spans="1:27" s="75" customFormat="1" ht="27.75" customHeight="1">
      <c r="A719" s="76">
        <v>307</v>
      </c>
      <c r="B719" s="7" t="s">
        <v>192</v>
      </c>
      <c r="C719" s="1">
        <f t="shared" si="240"/>
        <v>5639858.1800000006</v>
      </c>
      <c r="D719" s="1">
        <f t="shared" si="241"/>
        <v>0</v>
      </c>
      <c r="E719" s="2">
        <v>0</v>
      </c>
      <c r="F719" s="2">
        <v>0</v>
      </c>
      <c r="G719" s="2">
        <v>0</v>
      </c>
      <c r="H719" s="2">
        <v>0</v>
      </c>
      <c r="I719" s="2">
        <v>0</v>
      </c>
      <c r="J719" s="2">
        <v>0</v>
      </c>
      <c r="K719" s="2">
        <v>0</v>
      </c>
      <c r="L719" s="2">
        <v>0</v>
      </c>
      <c r="M719" s="2">
        <v>0</v>
      </c>
      <c r="N719" s="2">
        <v>0</v>
      </c>
      <c r="O719" s="8">
        <v>590</v>
      </c>
      <c r="P719" s="8">
        <v>5488114.9800000004</v>
      </c>
      <c r="Q719" s="2">
        <v>0</v>
      </c>
      <c r="R719" s="2">
        <v>0</v>
      </c>
      <c r="S719" s="2">
        <v>0</v>
      </c>
      <c r="T719" s="2">
        <v>0</v>
      </c>
      <c r="U719" s="2">
        <v>0</v>
      </c>
      <c r="V719" s="2">
        <v>0</v>
      </c>
      <c r="W719" s="2">
        <v>0</v>
      </c>
      <c r="X719" s="2">
        <v>0</v>
      </c>
      <c r="Y719" s="2">
        <v>0</v>
      </c>
      <c r="Z719" s="8">
        <v>151743.20000000001</v>
      </c>
      <c r="AA719" s="2">
        <v>0</v>
      </c>
    </row>
    <row r="720" spans="1:27" s="75" customFormat="1" ht="33.75" customHeight="1">
      <c r="A720" s="76">
        <v>308</v>
      </c>
      <c r="B720" s="127" t="s">
        <v>193</v>
      </c>
      <c r="C720" s="1">
        <f t="shared" si="240"/>
        <v>2666526.8400000003</v>
      </c>
      <c r="D720" s="1">
        <f t="shared" si="241"/>
        <v>1049461.94</v>
      </c>
      <c r="E720" s="2">
        <v>0</v>
      </c>
      <c r="F720" s="8">
        <v>1049461.94</v>
      </c>
      <c r="G720" s="2">
        <v>0</v>
      </c>
      <c r="H720" s="2">
        <v>0</v>
      </c>
      <c r="I720" s="2">
        <v>0</v>
      </c>
      <c r="J720" s="2">
        <v>0</v>
      </c>
      <c r="K720" s="2">
        <v>0</v>
      </c>
      <c r="L720" s="2">
        <v>0</v>
      </c>
      <c r="M720" s="2">
        <v>0</v>
      </c>
      <c r="N720" s="2">
        <v>0</v>
      </c>
      <c r="O720" s="8">
        <v>360</v>
      </c>
      <c r="P720" s="8">
        <v>1423382.18</v>
      </c>
      <c r="Q720" s="2">
        <v>0</v>
      </c>
      <c r="R720" s="2">
        <v>0</v>
      </c>
      <c r="S720" s="2">
        <v>0</v>
      </c>
      <c r="T720" s="2">
        <v>0</v>
      </c>
      <c r="U720" s="2">
        <v>0</v>
      </c>
      <c r="V720" s="2">
        <v>0</v>
      </c>
      <c r="W720" s="2">
        <v>0</v>
      </c>
      <c r="X720" s="2">
        <v>0</v>
      </c>
      <c r="Y720" s="2">
        <v>0</v>
      </c>
      <c r="Z720" s="8">
        <v>193682.72</v>
      </c>
      <c r="AA720" s="2">
        <v>0</v>
      </c>
    </row>
    <row r="721" spans="1:27" s="75" customFormat="1" ht="32.25" customHeight="1">
      <c r="A721" s="76">
        <v>309</v>
      </c>
      <c r="B721" s="127" t="s">
        <v>194</v>
      </c>
      <c r="C721" s="1">
        <f t="shared" si="240"/>
        <v>10030212.289999999</v>
      </c>
      <c r="D721" s="1">
        <f t="shared" si="241"/>
        <v>0</v>
      </c>
      <c r="E721" s="2">
        <v>0</v>
      </c>
      <c r="F721" s="2">
        <v>0</v>
      </c>
      <c r="G721" s="2">
        <v>0</v>
      </c>
      <c r="H721" s="2">
        <v>0</v>
      </c>
      <c r="I721" s="2">
        <v>0</v>
      </c>
      <c r="J721" s="2">
        <v>0</v>
      </c>
      <c r="K721" s="2">
        <v>0</v>
      </c>
      <c r="L721" s="2">
        <v>0</v>
      </c>
      <c r="M721" s="2">
        <v>0</v>
      </c>
      <c r="N721" s="2">
        <v>0</v>
      </c>
      <c r="O721" s="8">
        <v>1050</v>
      </c>
      <c r="P721" s="8">
        <v>9766984.2899999991</v>
      </c>
      <c r="Q721" s="2">
        <v>0</v>
      </c>
      <c r="R721" s="2">
        <v>0</v>
      </c>
      <c r="S721" s="2">
        <v>0</v>
      </c>
      <c r="T721" s="2">
        <v>0</v>
      </c>
      <c r="U721" s="2">
        <v>0</v>
      </c>
      <c r="V721" s="2">
        <v>0</v>
      </c>
      <c r="W721" s="2">
        <v>0</v>
      </c>
      <c r="X721" s="2">
        <v>0</v>
      </c>
      <c r="Y721" s="2">
        <v>0</v>
      </c>
      <c r="Z721" s="8">
        <v>263228</v>
      </c>
      <c r="AA721" s="2">
        <v>0</v>
      </c>
    </row>
    <row r="722" spans="1:27" s="75" customFormat="1" ht="36.75" customHeight="1">
      <c r="A722" s="76">
        <v>310</v>
      </c>
      <c r="B722" s="129" t="s">
        <v>195</v>
      </c>
      <c r="C722" s="1">
        <f t="shared" si="240"/>
        <v>6039747.1799999997</v>
      </c>
      <c r="D722" s="1">
        <f t="shared" si="241"/>
        <v>0</v>
      </c>
      <c r="E722" s="2">
        <v>0</v>
      </c>
      <c r="F722" s="2">
        <v>0</v>
      </c>
      <c r="G722" s="2">
        <v>0</v>
      </c>
      <c r="H722" s="2">
        <v>0</v>
      </c>
      <c r="I722" s="2">
        <v>0</v>
      </c>
      <c r="J722" s="2">
        <v>0</v>
      </c>
      <c r="K722" s="2">
        <v>0</v>
      </c>
      <c r="L722" s="2">
        <v>0</v>
      </c>
      <c r="M722" s="2">
        <v>0</v>
      </c>
      <c r="N722" s="2">
        <v>0</v>
      </c>
      <c r="O722" s="2">
        <v>0</v>
      </c>
      <c r="P722" s="2">
        <v>0</v>
      </c>
      <c r="Q722" s="2">
        <v>0</v>
      </c>
      <c r="R722" s="2">
        <v>0</v>
      </c>
      <c r="S722" s="8">
        <v>1350</v>
      </c>
      <c r="T722" s="8">
        <v>5601051.1799999997</v>
      </c>
      <c r="U722" s="2">
        <v>0</v>
      </c>
      <c r="V722" s="2">
        <v>0</v>
      </c>
      <c r="W722" s="2">
        <v>0</v>
      </c>
      <c r="X722" s="2">
        <v>0</v>
      </c>
      <c r="Y722" s="2">
        <v>0</v>
      </c>
      <c r="Z722" s="8">
        <v>438696</v>
      </c>
      <c r="AA722" s="2">
        <v>0</v>
      </c>
    </row>
    <row r="723" spans="1:27" s="75" customFormat="1" ht="37.5" customHeight="1">
      <c r="A723" s="76">
        <v>311</v>
      </c>
      <c r="B723" s="7" t="s">
        <v>558</v>
      </c>
      <c r="C723" s="1">
        <f t="shared" si="240"/>
        <v>3288622.04</v>
      </c>
      <c r="D723" s="1">
        <f t="shared" si="241"/>
        <v>0</v>
      </c>
      <c r="E723" s="2">
        <v>0</v>
      </c>
      <c r="F723" s="2">
        <v>0</v>
      </c>
      <c r="G723" s="2">
        <v>0</v>
      </c>
      <c r="H723" s="2">
        <v>0</v>
      </c>
      <c r="I723" s="2">
        <v>0</v>
      </c>
      <c r="J723" s="2">
        <v>0</v>
      </c>
      <c r="K723" s="2">
        <v>0</v>
      </c>
      <c r="L723" s="2">
        <v>0</v>
      </c>
      <c r="M723" s="2">
        <v>0</v>
      </c>
      <c r="N723" s="2">
        <v>0</v>
      </c>
      <c r="O723" s="8">
        <v>345</v>
      </c>
      <c r="P723" s="8">
        <v>3209151.98</v>
      </c>
      <c r="Q723" s="2">
        <v>0</v>
      </c>
      <c r="R723" s="2">
        <v>0</v>
      </c>
      <c r="S723" s="2">
        <v>0</v>
      </c>
      <c r="T723" s="2">
        <v>0</v>
      </c>
      <c r="U723" s="2">
        <v>0</v>
      </c>
      <c r="V723" s="2">
        <v>0</v>
      </c>
      <c r="W723" s="2">
        <v>0</v>
      </c>
      <c r="X723" s="2">
        <v>0</v>
      </c>
      <c r="Y723" s="2">
        <v>0</v>
      </c>
      <c r="Z723" s="8">
        <v>79470.06</v>
      </c>
      <c r="AA723" s="2">
        <v>0</v>
      </c>
    </row>
    <row r="724" spans="1:27" s="75" customFormat="1" ht="37.5" customHeight="1">
      <c r="A724" s="76">
        <v>312</v>
      </c>
      <c r="B724" s="7" t="s">
        <v>559</v>
      </c>
      <c r="C724" s="1">
        <f t="shared" si="240"/>
        <v>5868353.8999999994</v>
      </c>
      <c r="D724" s="1">
        <f t="shared" si="241"/>
        <v>0</v>
      </c>
      <c r="E724" s="2">
        <v>0</v>
      </c>
      <c r="F724" s="2">
        <v>0</v>
      </c>
      <c r="G724" s="2">
        <v>0</v>
      </c>
      <c r="H724" s="2">
        <v>0</v>
      </c>
      <c r="I724" s="2">
        <v>0</v>
      </c>
      <c r="J724" s="2">
        <v>0</v>
      </c>
      <c r="K724" s="2">
        <v>0</v>
      </c>
      <c r="L724" s="2">
        <v>0</v>
      </c>
      <c r="M724" s="2">
        <v>0</v>
      </c>
      <c r="N724" s="2">
        <v>0</v>
      </c>
      <c r="O724" s="8">
        <v>621.79999999999995</v>
      </c>
      <c r="P724" s="8">
        <v>5555911.8399999999</v>
      </c>
      <c r="Q724" s="2">
        <v>0</v>
      </c>
      <c r="R724" s="2">
        <v>0</v>
      </c>
      <c r="S724" s="2">
        <v>0</v>
      </c>
      <c r="T724" s="2">
        <v>0</v>
      </c>
      <c r="U724" s="2">
        <v>0</v>
      </c>
      <c r="V724" s="2">
        <v>0</v>
      </c>
      <c r="W724" s="2">
        <v>0</v>
      </c>
      <c r="X724" s="2">
        <v>0</v>
      </c>
      <c r="Y724" s="2">
        <v>0</v>
      </c>
      <c r="Z724" s="8">
        <v>312442.06</v>
      </c>
      <c r="AA724" s="2">
        <v>0</v>
      </c>
    </row>
    <row r="725" spans="1:27" s="75" customFormat="1" ht="30" customHeight="1">
      <c r="A725" s="76">
        <v>313</v>
      </c>
      <c r="B725" s="7" t="s">
        <v>198</v>
      </c>
      <c r="C725" s="1">
        <f t="shared" si="240"/>
        <v>1927617.46</v>
      </c>
      <c r="D725" s="1">
        <f t="shared" si="241"/>
        <v>1866635.46</v>
      </c>
      <c r="E725" s="2">
        <v>0</v>
      </c>
      <c r="F725" s="8">
        <v>1866635.46</v>
      </c>
      <c r="G725" s="2">
        <v>0</v>
      </c>
      <c r="H725" s="2">
        <v>0</v>
      </c>
      <c r="I725" s="2">
        <v>0</v>
      </c>
      <c r="J725" s="2">
        <v>0</v>
      </c>
      <c r="K725" s="2">
        <v>0</v>
      </c>
      <c r="L725" s="2">
        <v>0</v>
      </c>
      <c r="M725" s="2">
        <v>0</v>
      </c>
      <c r="N725" s="2">
        <v>0</v>
      </c>
      <c r="O725" s="2">
        <v>0</v>
      </c>
      <c r="P725" s="2">
        <v>0</v>
      </c>
      <c r="Q725" s="2">
        <v>0</v>
      </c>
      <c r="R725" s="2">
        <v>0</v>
      </c>
      <c r="S725" s="2">
        <v>0</v>
      </c>
      <c r="T725" s="2">
        <v>0</v>
      </c>
      <c r="U725" s="2">
        <v>0</v>
      </c>
      <c r="V725" s="2">
        <v>0</v>
      </c>
      <c r="W725" s="2">
        <v>0</v>
      </c>
      <c r="X725" s="2">
        <v>0</v>
      </c>
      <c r="Y725" s="2">
        <v>0</v>
      </c>
      <c r="Z725" s="1">
        <v>60982</v>
      </c>
      <c r="AA725" s="2">
        <v>0</v>
      </c>
    </row>
    <row r="726" spans="1:27" s="75" customFormat="1" ht="33" customHeight="1">
      <c r="A726" s="76">
        <v>314</v>
      </c>
      <c r="B726" s="7" t="s">
        <v>199</v>
      </c>
      <c r="C726" s="1">
        <f t="shared" si="240"/>
        <v>505008</v>
      </c>
      <c r="D726" s="1">
        <f t="shared" si="241"/>
        <v>468327</v>
      </c>
      <c r="E726" s="8">
        <v>468327</v>
      </c>
      <c r="F726" s="2">
        <v>0</v>
      </c>
      <c r="G726" s="2">
        <v>0</v>
      </c>
      <c r="H726" s="2">
        <v>0</v>
      </c>
      <c r="I726" s="2">
        <v>0</v>
      </c>
      <c r="J726" s="2">
        <v>0</v>
      </c>
      <c r="K726" s="2">
        <v>0</v>
      </c>
      <c r="L726" s="2">
        <v>0</v>
      </c>
      <c r="M726" s="2">
        <v>0</v>
      </c>
      <c r="N726" s="2">
        <v>0</v>
      </c>
      <c r="O726" s="2">
        <v>0</v>
      </c>
      <c r="P726" s="2">
        <v>0</v>
      </c>
      <c r="Q726" s="2">
        <v>0</v>
      </c>
      <c r="R726" s="2">
        <v>0</v>
      </c>
      <c r="S726" s="2">
        <v>0</v>
      </c>
      <c r="T726" s="2">
        <v>0</v>
      </c>
      <c r="U726" s="2">
        <v>0</v>
      </c>
      <c r="V726" s="2">
        <v>0</v>
      </c>
      <c r="W726" s="2">
        <v>0</v>
      </c>
      <c r="X726" s="2">
        <v>0</v>
      </c>
      <c r="Y726" s="2">
        <v>0</v>
      </c>
      <c r="Z726" s="8">
        <v>36681</v>
      </c>
      <c r="AA726" s="2">
        <v>0</v>
      </c>
    </row>
    <row r="727" spans="1:27" s="75" customFormat="1" ht="36.75" customHeight="1">
      <c r="A727" s="158" t="s">
        <v>205</v>
      </c>
      <c r="B727" s="160"/>
      <c r="C727" s="8">
        <f>SUM(C728:C733)</f>
        <v>1150975</v>
      </c>
      <c r="D727" s="8">
        <f t="shared" ref="D727:AA727" si="242">SUM(D728:D733)</f>
        <v>0</v>
      </c>
      <c r="E727" s="8">
        <f t="shared" si="242"/>
        <v>0</v>
      </c>
      <c r="F727" s="8">
        <f t="shared" si="242"/>
        <v>0</v>
      </c>
      <c r="G727" s="8">
        <f t="shared" si="242"/>
        <v>0</v>
      </c>
      <c r="H727" s="8">
        <f t="shared" si="242"/>
        <v>0</v>
      </c>
      <c r="I727" s="8">
        <f t="shared" si="242"/>
        <v>0</v>
      </c>
      <c r="J727" s="8">
        <f t="shared" si="242"/>
        <v>0</v>
      </c>
      <c r="K727" s="8">
        <f t="shared" si="242"/>
        <v>0</v>
      </c>
      <c r="L727" s="8">
        <f t="shared" si="242"/>
        <v>0</v>
      </c>
      <c r="M727" s="8">
        <f t="shared" si="242"/>
        <v>0</v>
      </c>
      <c r="N727" s="8">
        <f t="shared" si="242"/>
        <v>0</v>
      </c>
      <c r="O727" s="8">
        <f t="shared" si="242"/>
        <v>0</v>
      </c>
      <c r="P727" s="8">
        <f t="shared" si="242"/>
        <v>0</v>
      </c>
      <c r="Q727" s="8">
        <f t="shared" si="242"/>
        <v>0</v>
      </c>
      <c r="R727" s="8">
        <f t="shared" si="242"/>
        <v>0</v>
      </c>
      <c r="S727" s="8">
        <f t="shared" si="242"/>
        <v>0</v>
      </c>
      <c r="T727" s="8">
        <f t="shared" si="242"/>
        <v>0</v>
      </c>
      <c r="U727" s="8">
        <f t="shared" si="242"/>
        <v>3074.3</v>
      </c>
      <c r="V727" s="8">
        <f t="shared" si="242"/>
        <v>1150975</v>
      </c>
      <c r="W727" s="8">
        <f t="shared" si="242"/>
        <v>0</v>
      </c>
      <c r="X727" s="8">
        <f t="shared" si="242"/>
        <v>0</v>
      </c>
      <c r="Y727" s="8">
        <f t="shared" si="242"/>
        <v>0</v>
      </c>
      <c r="Z727" s="8">
        <f t="shared" si="242"/>
        <v>0</v>
      </c>
      <c r="AA727" s="8">
        <f t="shared" si="242"/>
        <v>0</v>
      </c>
    </row>
    <row r="728" spans="1:27" s="74" customFormat="1" ht="32.25" customHeight="1">
      <c r="A728" s="76">
        <v>315</v>
      </c>
      <c r="B728" s="136" t="s">
        <v>836</v>
      </c>
      <c r="C728" s="1">
        <f t="shared" si="240"/>
        <v>144966</v>
      </c>
      <c r="D728" s="1">
        <f>E728+F728+G728+H728+I728+J728</f>
        <v>0</v>
      </c>
      <c r="E728" s="2">
        <v>0</v>
      </c>
      <c r="F728" s="2">
        <v>0</v>
      </c>
      <c r="G728" s="2">
        <v>0</v>
      </c>
      <c r="H728" s="2">
        <v>0</v>
      </c>
      <c r="I728" s="2">
        <v>0</v>
      </c>
      <c r="J728" s="2">
        <v>0</v>
      </c>
      <c r="K728" s="2">
        <v>0</v>
      </c>
      <c r="L728" s="2">
        <v>0</v>
      </c>
      <c r="M728" s="2">
        <v>0</v>
      </c>
      <c r="N728" s="2">
        <v>0</v>
      </c>
      <c r="O728" s="2">
        <v>0</v>
      </c>
      <c r="P728" s="2">
        <v>0</v>
      </c>
      <c r="Q728" s="2">
        <v>0</v>
      </c>
      <c r="R728" s="2">
        <v>0</v>
      </c>
      <c r="S728" s="2">
        <v>0</v>
      </c>
      <c r="T728" s="2">
        <v>0</v>
      </c>
      <c r="U728" s="3">
        <v>352.2</v>
      </c>
      <c r="V728" s="63">
        <v>144966</v>
      </c>
      <c r="W728" s="2">
        <v>0</v>
      </c>
      <c r="X728" s="2">
        <v>0</v>
      </c>
      <c r="Y728" s="2">
        <v>0</v>
      </c>
      <c r="Z728" s="2">
        <v>0</v>
      </c>
      <c r="AA728" s="2">
        <v>0</v>
      </c>
    </row>
    <row r="729" spans="1:27" s="116" customFormat="1" ht="33" customHeight="1">
      <c r="A729" s="76">
        <v>316</v>
      </c>
      <c r="B729" s="136" t="s">
        <v>837</v>
      </c>
      <c r="C729" s="1">
        <f t="shared" si="240"/>
        <v>173160</v>
      </c>
      <c r="D729" s="1">
        <f t="shared" ref="D729:D733" si="243">E729+F729+G729+H729+I729+J729</f>
        <v>0</v>
      </c>
      <c r="E729" s="2">
        <v>0</v>
      </c>
      <c r="F729" s="2">
        <v>0</v>
      </c>
      <c r="G729" s="2">
        <v>0</v>
      </c>
      <c r="H729" s="2">
        <v>0</v>
      </c>
      <c r="I729" s="2">
        <v>0</v>
      </c>
      <c r="J729" s="2">
        <v>0</v>
      </c>
      <c r="K729" s="2">
        <v>0</v>
      </c>
      <c r="L729" s="2">
        <v>0</v>
      </c>
      <c r="M729" s="2">
        <v>0</v>
      </c>
      <c r="N729" s="2">
        <v>0</v>
      </c>
      <c r="O729" s="2">
        <v>0</v>
      </c>
      <c r="P729" s="2">
        <v>0</v>
      </c>
      <c r="Q729" s="2">
        <v>0</v>
      </c>
      <c r="R729" s="2">
        <v>0</v>
      </c>
      <c r="S729" s="2">
        <v>0</v>
      </c>
      <c r="T729" s="2">
        <v>0</v>
      </c>
      <c r="U729" s="3">
        <v>420.7</v>
      </c>
      <c r="V729" s="63">
        <v>173160</v>
      </c>
      <c r="W729" s="2">
        <v>0</v>
      </c>
      <c r="X729" s="2">
        <v>0</v>
      </c>
      <c r="Y729" s="2">
        <v>0</v>
      </c>
      <c r="Z729" s="2">
        <v>0</v>
      </c>
      <c r="AA729" s="2">
        <v>0</v>
      </c>
    </row>
    <row r="730" spans="1:27" s="116" customFormat="1" ht="33.75" customHeight="1">
      <c r="A730" s="76">
        <v>317</v>
      </c>
      <c r="B730" s="136" t="s">
        <v>838</v>
      </c>
      <c r="C730" s="1">
        <f t="shared" si="240"/>
        <v>237699</v>
      </c>
      <c r="D730" s="1">
        <f t="shared" si="243"/>
        <v>0</v>
      </c>
      <c r="E730" s="2">
        <v>0</v>
      </c>
      <c r="F730" s="2">
        <v>0</v>
      </c>
      <c r="G730" s="2">
        <v>0</v>
      </c>
      <c r="H730" s="2">
        <v>0</v>
      </c>
      <c r="I730" s="2">
        <v>0</v>
      </c>
      <c r="J730" s="2">
        <v>0</v>
      </c>
      <c r="K730" s="2">
        <v>0</v>
      </c>
      <c r="L730" s="2">
        <v>0</v>
      </c>
      <c r="M730" s="2">
        <v>0</v>
      </c>
      <c r="N730" s="2">
        <v>0</v>
      </c>
      <c r="O730" s="2">
        <v>0</v>
      </c>
      <c r="P730" s="2">
        <v>0</v>
      </c>
      <c r="Q730" s="2">
        <v>0</v>
      </c>
      <c r="R730" s="2">
        <v>0</v>
      </c>
      <c r="S730" s="2">
        <v>0</v>
      </c>
      <c r="T730" s="2">
        <v>0</v>
      </c>
      <c r="U730" s="3">
        <v>577.5</v>
      </c>
      <c r="V730" s="63">
        <v>237699</v>
      </c>
      <c r="W730" s="2">
        <v>0</v>
      </c>
      <c r="X730" s="2">
        <v>0</v>
      </c>
      <c r="Y730" s="2">
        <v>0</v>
      </c>
      <c r="Z730" s="2">
        <v>0</v>
      </c>
      <c r="AA730" s="2">
        <v>0</v>
      </c>
    </row>
    <row r="731" spans="1:27" s="116" customFormat="1" ht="18.75">
      <c r="A731" s="76">
        <v>318</v>
      </c>
      <c r="B731" s="136" t="s">
        <v>702</v>
      </c>
      <c r="C731" s="1">
        <f t="shared" si="240"/>
        <v>268380</v>
      </c>
      <c r="D731" s="1">
        <v>0</v>
      </c>
      <c r="E731" s="2">
        <v>0</v>
      </c>
      <c r="F731" s="2">
        <v>0</v>
      </c>
      <c r="G731" s="2">
        <v>0</v>
      </c>
      <c r="H731" s="2">
        <v>0</v>
      </c>
      <c r="I731" s="2">
        <v>0</v>
      </c>
      <c r="J731" s="2">
        <v>0</v>
      </c>
      <c r="K731" s="2">
        <v>0</v>
      </c>
      <c r="L731" s="2">
        <v>0</v>
      </c>
      <c r="M731" s="2">
        <v>0</v>
      </c>
      <c r="N731" s="2">
        <v>0</v>
      </c>
      <c r="O731" s="2">
        <v>0</v>
      </c>
      <c r="P731" s="2">
        <v>0</v>
      </c>
      <c r="Q731" s="2">
        <v>0</v>
      </c>
      <c r="R731" s="2">
        <v>0</v>
      </c>
      <c r="S731" s="2">
        <v>0</v>
      </c>
      <c r="T731" s="2">
        <v>0</v>
      </c>
      <c r="U731" s="3">
        <v>930</v>
      </c>
      <c r="V731" s="63">
        <v>268380</v>
      </c>
      <c r="W731" s="2">
        <v>0</v>
      </c>
      <c r="X731" s="2">
        <v>0</v>
      </c>
      <c r="Y731" s="2">
        <v>0</v>
      </c>
      <c r="Z731" s="2">
        <v>0</v>
      </c>
      <c r="AA731" s="2">
        <v>0</v>
      </c>
    </row>
    <row r="732" spans="1:27" s="116" customFormat="1" ht="18.75">
      <c r="A732" s="76">
        <v>319</v>
      </c>
      <c r="B732" s="136" t="s">
        <v>839</v>
      </c>
      <c r="C732" s="1">
        <f t="shared" si="240"/>
        <v>152210</v>
      </c>
      <c r="D732" s="1">
        <f t="shared" si="243"/>
        <v>0</v>
      </c>
      <c r="E732" s="2">
        <v>0</v>
      </c>
      <c r="F732" s="2">
        <v>0</v>
      </c>
      <c r="G732" s="2">
        <v>0</v>
      </c>
      <c r="H732" s="2">
        <v>0</v>
      </c>
      <c r="I732" s="2">
        <v>0</v>
      </c>
      <c r="J732" s="2">
        <v>0</v>
      </c>
      <c r="K732" s="2">
        <v>0</v>
      </c>
      <c r="L732" s="2">
        <v>0</v>
      </c>
      <c r="M732" s="2">
        <v>0</v>
      </c>
      <c r="N732" s="2">
        <v>0</v>
      </c>
      <c r="O732" s="2">
        <v>0</v>
      </c>
      <c r="P732" s="2">
        <v>0</v>
      </c>
      <c r="Q732" s="2">
        <v>0</v>
      </c>
      <c r="R732" s="2">
        <v>0</v>
      </c>
      <c r="S732" s="2">
        <v>0</v>
      </c>
      <c r="T732" s="2">
        <v>0</v>
      </c>
      <c r="U732" s="3">
        <v>369.8</v>
      </c>
      <c r="V732" s="63">
        <v>152210</v>
      </c>
      <c r="W732" s="2">
        <v>0</v>
      </c>
      <c r="X732" s="2">
        <v>0</v>
      </c>
      <c r="Y732" s="2">
        <v>0</v>
      </c>
      <c r="Z732" s="2">
        <v>0</v>
      </c>
      <c r="AA732" s="2">
        <v>0</v>
      </c>
    </row>
    <row r="733" spans="1:27" s="116" customFormat="1" ht="18.75">
      <c r="A733" s="76">
        <v>320</v>
      </c>
      <c r="B733" s="136" t="s">
        <v>840</v>
      </c>
      <c r="C733" s="1">
        <f t="shared" si="240"/>
        <v>174560</v>
      </c>
      <c r="D733" s="1">
        <f t="shared" si="243"/>
        <v>0</v>
      </c>
      <c r="E733" s="2">
        <v>0</v>
      </c>
      <c r="F733" s="2">
        <v>0</v>
      </c>
      <c r="G733" s="2">
        <v>0</v>
      </c>
      <c r="H733" s="2">
        <v>0</v>
      </c>
      <c r="I733" s="2">
        <v>0</v>
      </c>
      <c r="J733" s="2">
        <v>0</v>
      </c>
      <c r="K733" s="2">
        <v>0</v>
      </c>
      <c r="L733" s="2">
        <v>0</v>
      </c>
      <c r="M733" s="2">
        <v>0</v>
      </c>
      <c r="N733" s="2">
        <v>0</v>
      </c>
      <c r="O733" s="2">
        <v>0</v>
      </c>
      <c r="P733" s="2">
        <v>0</v>
      </c>
      <c r="Q733" s="2">
        <v>0</v>
      </c>
      <c r="R733" s="2">
        <v>0</v>
      </c>
      <c r="S733" s="2">
        <v>0</v>
      </c>
      <c r="T733" s="2">
        <v>0</v>
      </c>
      <c r="U733" s="3">
        <v>424.1</v>
      </c>
      <c r="V733" s="63">
        <v>174560</v>
      </c>
      <c r="W733" s="2">
        <v>0</v>
      </c>
      <c r="X733" s="2">
        <v>0</v>
      </c>
      <c r="Y733" s="2">
        <v>0</v>
      </c>
      <c r="Z733" s="2">
        <v>0</v>
      </c>
      <c r="AA733" s="2">
        <v>0</v>
      </c>
    </row>
    <row r="734" spans="1:27" s="75" customFormat="1" ht="36.75" customHeight="1">
      <c r="A734" s="158" t="s">
        <v>280</v>
      </c>
      <c r="B734" s="160"/>
      <c r="C734" s="8">
        <f t="shared" ref="C734:AA734" si="244">SUM(C735:C736)</f>
        <v>4924940.42</v>
      </c>
      <c r="D734" s="8">
        <f t="shared" si="244"/>
        <v>0</v>
      </c>
      <c r="E734" s="8">
        <f t="shared" si="244"/>
        <v>0</v>
      </c>
      <c r="F734" s="8">
        <f t="shared" si="244"/>
        <v>0</v>
      </c>
      <c r="G734" s="8">
        <f t="shared" si="244"/>
        <v>0</v>
      </c>
      <c r="H734" s="8">
        <f t="shared" si="244"/>
        <v>0</v>
      </c>
      <c r="I734" s="8">
        <f t="shared" si="244"/>
        <v>0</v>
      </c>
      <c r="J734" s="8">
        <f t="shared" si="244"/>
        <v>0</v>
      </c>
      <c r="K734" s="8">
        <f t="shared" si="244"/>
        <v>0</v>
      </c>
      <c r="L734" s="8">
        <f t="shared" si="244"/>
        <v>0</v>
      </c>
      <c r="M734" s="8">
        <f t="shared" si="244"/>
        <v>0</v>
      </c>
      <c r="N734" s="8">
        <f t="shared" si="244"/>
        <v>0</v>
      </c>
      <c r="O734" s="8">
        <f t="shared" si="244"/>
        <v>410</v>
      </c>
      <c r="P734" s="8">
        <f t="shared" si="244"/>
        <v>3813774.82</v>
      </c>
      <c r="Q734" s="8">
        <f t="shared" si="244"/>
        <v>0</v>
      </c>
      <c r="R734" s="8">
        <f t="shared" si="244"/>
        <v>0</v>
      </c>
      <c r="S734" s="8">
        <f t="shared" si="244"/>
        <v>0</v>
      </c>
      <c r="T734" s="8">
        <f t="shared" si="244"/>
        <v>0</v>
      </c>
      <c r="U734" s="8">
        <f t="shared" si="244"/>
        <v>0</v>
      </c>
      <c r="V734" s="8">
        <f t="shared" si="244"/>
        <v>0</v>
      </c>
      <c r="W734" s="8">
        <f t="shared" si="244"/>
        <v>0</v>
      </c>
      <c r="X734" s="8">
        <f t="shared" si="244"/>
        <v>0</v>
      </c>
      <c r="Y734" s="8">
        <f t="shared" si="244"/>
        <v>0</v>
      </c>
      <c r="Z734" s="8">
        <f t="shared" si="244"/>
        <v>1111165.6000000001</v>
      </c>
      <c r="AA734" s="8">
        <f t="shared" si="244"/>
        <v>0</v>
      </c>
    </row>
    <row r="735" spans="1:27" s="116" customFormat="1" ht="34.5" customHeight="1">
      <c r="A735" s="76">
        <v>321</v>
      </c>
      <c r="B735" s="20" t="s">
        <v>813</v>
      </c>
      <c r="C735" s="8">
        <v>4112484.42</v>
      </c>
      <c r="D735" s="1">
        <f t="shared" ref="D735:D736" si="245">E735+F735+G735+H735+I735+J735</f>
        <v>0</v>
      </c>
      <c r="E735" s="2">
        <v>0</v>
      </c>
      <c r="F735" s="2">
        <v>0</v>
      </c>
      <c r="G735" s="2">
        <v>0</v>
      </c>
      <c r="H735" s="2">
        <v>0</v>
      </c>
      <c r="I735" s="2">
        <v>0</v>
      </c>
      <c r="J735" s="2">
        <v>0</v>
      </c>
      <c r="K735" s="2">
        <v>0</v>
      </c>
      <c r="L735" s="2">
        <v>0</v>
      </c>
      <c r="M735" s="2">
        <v>0</v>
      </c>
      <c r="N735" s="2">
        <v>0</v>
      </c>
      <c r="O735" s="128">
        <v>410</v>
      </c>
      <c r="P735" s="8">
        <v>3813774.82</v>
      </c>
      <c r="Q735" s="2">
        <v>0</v>
      </c>
      <c r="R735" s="2">
        <v>0</v>
      </c>
      <c r="S735" s="2">
        <v>0</v>
      </c>
      <c r="T735" s="2">
        <v>0</v>
      </c>
      <c r="U735" s="2">
        <v>0</v>
      </c>
      <c r="V735" s="2">
        <v>0</v>
      </c>
      <c r="W735" s="2">
        <v>0</v>
      </c>
      <c r="X735" s="2">
        <v>0</v>
      </c>
      <c r="Y735" s="2">
        <v>0</v>
      </c>
      <c r="Z735" s="8">
        <v>298709.59999999998</v>
      </c>
      <c r="AA735" s="2">
        <v>0</v>
      </c>
    </row>
    <row r="736" spans="1:27" s="116" customFormat="1" ht="34.5" customHeight="1">
      <c r="A736" s="76">
        <v>322</v>
      </c>
      <c r="B736" s="14" t="s">
        <v>865</v>
      </c>
      <c r="C736" s="8">
        <v>812456</v>
      </c>
      <c r="D736" s="1">
        <f t="shared" si="245"/>
        <v>0</v>
      </c>
      <c r="E736" s="2">
        <v>0</v>
      </c>
      <c r="F736" s="2">
        <v>0</v>
      </c>
      <c r="G736" s="2">
        <v>0</v>
      </c>
      <c r="H736" s="2">
        <v>0</v>
      </c>
      <c r="I736" s="2">
        <v>0</v>
      </c>
      <c r="J736" s="2">
        <v>0</v>
      </c>
      <c r="K736" s="2">
        <v>0</v>
      </c>
      <c r="L736" s="2">
        <v>0</v>
      </c>
      <c r="M736" s="2">
        <v>0</v>
      </c>
      <c r="N736" s="2">
        <v>0</v>
      </c>
      <c r="O736" s="2">
        <v>0</v>
      </c>
      <c r="P736" s="2">
        <v>0</v>
      </c>
      <c r="Q736" s="2">
        <v>0</v>
      </c>
      <c r="R736" s="2">
        <v>0</v>
      </c>
      <c r="S736" s="2">
        <v>0</v>
      </c>
      <c r="T736" s="2">
        <v>0</v>
      </c>
      <c r="U736" s="2">
        <v>0</v>
      </c>
      <c r="V736" s="2">
        <v>0</v>
      </c>
      <c r="W736" s="2">
        <v>0</v>
      </c>
      <c r="X736" s="2">
        <v>0</v>
      </c>
      <c r="Y736" s="2">
        <v>0</v>
      </c>
      <c r="Z736" s="8">
        <v>812456</v>
      </c>
      <c r="AA736" s="2">
        <v>0</v>
      </c>
    </row>
    <row r="737" spans="1:27" s="75" customFormat="1" ht="30.75" customHeight="1">
      <c r="A737" s="158" t="s">
        <v>263</v>
      </c>
      <c r="B737" s="160"/>
      <c r="C737" s="8">
        <f>C738</f>
        <v>4381187.51</v>
      </c>
      <c r="D737" s="8">
        <f t="shared" ref="D737:AA737" si="246">D738</f>
        <v>0</v>
      </c>
      <c r="E737" s="8">
        <f t="shared" si="246"/>
        <v>0</v>
      </c>
      <c r="F737" s="8">
        <f t="shared" si="246"/>
        <v>0</v>
      </c>
      <c r="G737" s="8">
        <f t="shared" si="246"/>
        <v>0</v>
      </c>
      <c r="H737" s="8">
        <f t="shared" si="246"/>
        <v>0</v>
      </c>
      <c r="I737" s="8">
        <f t="shared" si="246"/>
        <v>0</v>
      </c>
      <c r="J737" s="8">
        <f t="shared" si="246"/>
        <v>0</v>
      </c>
      <c r="K737" s="8">
        <f t="shared" si="246"/>
        <v>0</v>
      </c>
      <c r="L737" s="8">
        <f t="shared" si="246"/>
        <v>0</v>
      </c>
      <c r="M737" s="8">
        <f t="shared" si="246"/>
        <v>0</v>
      </c>
      <c r="N737" s="8">
        <f t="shared" si="246"/>
        <v>0</v>
      </c>
      <c r="O737" s="8">
        <f t="shared" si="246"/>
        <v>0</v>
      </c>
      <c r="P737" s="8">
        <f t="shared" si="246"/>
        <v>0</v>
      </c>
      <c r="Q737" s="8">
        <f t="shared" si="246"/>
        <v>0</v>
      </c>
      <c r="R737" s="8">
        <f t="shared" si="246"/>
        <v>0</v>
      </c>
      <c r="S737" s="8">
        <f t="shared" si="246"/>
        <v>0</v>
      </c>
      <c r="T737" s="8">
        <f t="shared" si="246"/>
        <v>0</v>
      </c>
      <c r="U737" s="8">
        <f t="shared" si="246"/>
        <v>847.61</v>
      </c>
      <c r="V737" s="8">
        <f t="shared" si="246"/>
        <v>4062960</v>
      </c>
      <c r="W737" s="8">
        <f t="shared" si="246"/>
        <v>0</v>
      </c>
      <c r="X737" s="8">
        <f t="shared" si="246"/>
        <v>0</v>
      </c>
      <c r="Y737" s="8">
        <f t="shared" si="246"/>
        <v>0</v>
      </c>
      <c r="Z737" s="8">
        <f t="shared" si="246"/>
        <v>318227.51</v>
      </c>
      <c r="AA737" s="8">
        <f t="shared" si="246"/>
        <v>0</v>
      </c>
    </row>
    <row r="738" spans="1:27" ht="31.5" customHeight="1">
      <c r="A738" s="76">
        <v>323</v>
      </c>
      <c r="B738" s="124" t="s">
        <v>264</v>
      </c>
      <c r="C738" s="1">
        <f>D738+L738+N738+P738+R738+T738+V738+X738+Y738+Z738+AA738</f>
        <v>4381187.51</v>
      </c>
      <c r="D738" s="1">
        <f>SUM(E738:J738)</f>
        <v>0</v>
      </c>
      <c r="E738" s="2">
        <v>0</v>
      </c>
      <c r="F738" s="2">
        <v>0</v>
      </c>
      <c r="G738" s="2">
        <v>0</v>
      </c>
      <c r="H738" s="2">
        <v>0</v>
      </c>
      <c r="I738" s="2">
        <v>0</v>
      </c>
      <c r="J738" s="2">
        <v>0</v>
      </c>
      <c r="K738" s="2">
        <v>0</v>
      </c>
      <c r="L738" s="2">
        <v>0</v>
      </c>
      <c r="M738" s="2">
        <v>0</v>
      </c>
      <c r="N738" s="2">
        <v>0</v>
      </c>
      <c r="O738" s="2">
        <v>0</v>
      </c>
      <c r="P738" s="2">
        <v>0</v>
      </c>
      <c r="Q738" s="2">
        <v>0</v>
      </c>
      <c r="R738" s="2">
        <v>0</v>
      </c>
      <c r="S738" s="2">
        <v>0</v>
      </c>
      <c r="T738" s="2">
        <v>0</v>
      </c>
      <c r="U738" s="1">
        <v>847.61</v>
      </c>
      <c r="V738" s="1">
        <v>4062960</v>
      </c>
      <c r="W738" s="2">
        <v>0</v>
      </c>
      <c r="X738" s="2">
        <v>0</v>
      </c>
      <c r="Y738" s="2">
        <v>0</v>
      </c>
      <c r="Z738" s="1">
        <v>318227.51</v>
      </c>
      <c r="AA738" s="2">
        <v>0</v>
      </c>
    </row>
    <row r="739" spans="1:27" s="75" customFormat="1" ht="39" customHeight="1">
      <c r="A739" s="158" t="s">
        <v>138</v>
      </c>
      <c r="B739" s="160"/>
      <c r="C739" s="1">
        <f>SUM(C740)</f>
        <v>2689563.73</v>
      </c>
      <c r="D739" s="1">
        <f t="shared" ref="D739:AA739" si="247">SUM(D740)</f>
        <v>0</v>
      </c>
      <c r="E739" s="1">
        <f t="shared" si="247"/>
        <v>0</v>
      </c>
      <c r="F739" s="1">
        <f t="shared" si="247"/>
        <v>0</v>
      </c>
      <c r="G739" s="1">
        <f t="shared" si="247"/>
        <v>0</v>
      </c>
      <c r="H739" s="1">
        <f t="shared" si="247"/>
        <v>0</v>
      </c>
      <c r="I739" s="1">
        <f t="shared" si="247"/>
        <v>0</v>
      </c>
      <c r="J739" s="1">
        <f t="shared" si="247"/>
        <v>0</v>
      </c>
      <c r="K739" s="1">
        <f t="shared" si="247"/>
        <v>0</v>
      </c>
      <c r="L739" s="1">
        <f t="shared" si="247"/>
        <v>0</v>
      </c>
      <c r="M739" s="1">
        <f t="shared" si="247"/>
        <v>0</v>
      </c>
      <c r="N739" s="1">
        <f t="shared" si="247"/>
        <v>0</v>
      </c>
      <c r="O739" s="1">
        <f t="shared" si="247"/>
        <v>350</v>
      </c>
      <c r="P739" s="1">
        <f t="shared" si="247"/>
        <v>2494207.73</v>
      </c>
      <c r="Q739" s="1">
        <f t="shared" si="247"/>
        <v>0</v>
      </c>
      <c r="R739" s="1">
        <f t="shared" si="247"/>
        <v>0</v>
      </c>
      <c r="S739" s="1">
        <f t="shared" si="247"/>
        <v>0</v>
      </c>
      <c r="T739" s="1">
        <f t="shared" si="247"/>
        <v>0</v>
      </c>
      <c r="U739" s="1">
        <f t="shared" si="247"/>
        <v>0</v>
      </c>
      <c r="V739" s="1">
        <f t="shared" si="247"/>
        <v>0</v>
      </c>
      <c r="W739" s="1">
        <f t="shared" si="247"/>
        <v>0</v>
      </c>
      <c r="X739" s="1">
        <f t="shared" si="247"/>
        <v>0</v>
      </c>
      <c r="Y739" s="1">
        <f t="shared" si="247"/>
        <v>0</v>
      </c>
      <c r="Z739" s="1">
        <f t="shared" si="247"/>
        <v>195356</v>
      </c>
      <c r="AA739" s="1">
        <f t="shared" si="247"/>
        <v>0</v>
      </c>
    </row>
    <row r="740" spans="1:27" s="75" customFormat="1" ht="39" customHeight="1">
      <c r="A740" s="76">
        <v>324</v>
      </c>
      <c r="B740" s="121" t="s">
        <v>560</v>
      </c>
      <c r="C740" s="1">
        <f>D740+L740+N740+P740+R740+T740+V740+X740+Y740+Z740+AA740</f>
        <v>2689563.73</v>
      </c>
      <c r="D740" s="1">
        <v>0</v>
      </c>
      <c r="E740" s="2">
        <v>0</v>
      </c>
      <c r="F740" s="2">
        <v>0</v>
      </c>
      <c r="G740" s="2">
        <v>0</v>
      </c>
      <c r="H740" s="2">
        <v>0</v>
      </c>
      <c r="I740" s="2">
        <v>0</v>
      </c>
      <c r="J740" s="2">
        <v>0</v>
      </c>
      <c r="K740" s="2">
        <v>0</v>
      </c>
      <c r="L740" s="2">
        <v>0</v>
      </c>
      <c r="M740" s="2">
        <v>0</v>
      </c>
      <c r="N740" s="3">
        <v>0</v>
      </c>
      <c r="O740" s="3">
        <v>350</v>
      </c>
      <c r="P740" s="1">
        <v>2494207.73</v>
      </c>
      <c r="Q740" s="2">
        <v>0</v>
      </c>
      <c r="R740" s="2">
        <v>0</v>
      </c>
      <c r="S740" s="2">
        <v>0</v>
      </c>
      <c r="T740" s="2">
        <v>0</v>
      </c>
      <c r="U740" s="2">
        <v>0</v>
      </c>
      <c r="V740" s="2">
        <v>0</v>
      </c>
      <c r="W740" s="2">
        <v>0</v>
      </c>
      <c r="X740" s="2">
        <v>0</v>
      </c>
      <c r="Y740" s="2">
        <v>0</v>
      </c>
      <c r="Z740" s="4">
        <v>195356</v>
      </c>
      <c r="AA740" s="2">
        <v>0</v>
      </c>
    </row>
    <row r="741" spans="1:27" s="75" customFormat="1" ht="35.25" customHeight="1">
      <c r="A741" s="158" t="s">
        <v>326</v>
      </c>
      <c r="B741" s="160"/>
      <c r="C741" s="1">
        <f>SUM(C742:C760)</f>
        <v>120533255.84999998</v>
      </c>
      <c r="D741" s="1">
        <f t="shared" ref="D741:AA741" si="248">SUM(D742:D760)</f>
        <v>6723482.4500000002</v>
      </c>
      <c r="E741" s="1">
        <f t="shared" si="248"/>
        <v>392255.9</v>
      </c>
      <c r="F741" s="1">
        <f t="shared" si="248"/>
        <v>6331226.5499999998</v>
      </c>
      <c r="G741" s="1">
        <f t="shared" si="248"/>
        <v>0</v>
      </c>
      <c r="H741" s="1">
        <f t="shared" si="248"/>
        <v>0</v>
      </c>
      <c r="I741" s="1">
        <f t="shared" si="248"/>
        <v>0</v>
      </c>
      <c r="J741" s="1">
        <f t="shared" si="248"/>
        <v>0</v>
      </c>
      <c r="K741" s="1">
        <f t="shared" si="248"/>
        <v>0</v>
      </c>
      <c r="L741" s="1">
        <f t="shared" si="248"/>
        <v>0</v>
      </c>
      <c r="M741" s="1">
        <f t="shared" si="248"/>
        <v>0</v>
      </c>
      <c r="N741" s="1">
        <f t="shared" si="248"/>
        <v>0</v>
      </c>
      <c r="O741" s="1">
        <f t="shared" si="248"/>
        <v>9399.49</v>
      </c>
      <c r="P741" s="1">
        <f t="shared" si="248"/>
        <v>71924036.24000001</v>
      </c>
      <c r="Q741" s="1">
        <f t="shared" si="248"/>
        <v>0</v>
      </c>
      <c r="R741" s="1">
        <f t="shared" si="248"/>
        <v>0</v>
      </c>
      <c r="S741" s="1">
        <f t="shared" si="248"/>
        <v>8126.09</v>
      </c>
      <c r="T741" s="1">
        <f t="shared" si="248"/>
        <v>31202054.329999998</v>
      </c>
      <c r="U741" s="1">
        <f t="shared" si="248"/>
        <v>378</v>
      </c>
      <c r="V741" s="1">
        <f t="shared" si="248"/>
        <v>2766960</v>
      </c>
      <c r="W741" s="1">
        <f t="shared" si="248"/>
        <v>0</v>
      </c>
      <c r="X741" s="1">
        <f t="shared" si="248"/>
        <v>0</v>
      </c>
      <c r="Y741" s="1">
        <f t="shared" si="248"/>
        <v>0</v>
      </c>
      <c r="Z741" s="1">
        <f t="shared" si="248"/>
        <v>7916722.830000001</v>
      </c>
      <c r="AA741" s="1">
        <f t="shared" si="248"/>
        <v>0</v>
      </c>
    </row>
    <row r="742" spans="1:27" s="75" customFormat="1" ht="32.25" customHeight="1">
      <c r="A742" s="76">
        <v>325</v>
      </c>
      <c r="B742" s="121" t="s">
        <v>815</v>
      </c>
      <c r="C742" s="8">
        <f t="shared" ref="C742:C760" si="249">D742+L742+N742+P742+R742+T742+V742+X742+Y742+Z742+AA742</f>
        <v>5959675.4000000004</v>
      </c>
      <c r="D742" s="1">
        <f t="shared" ref="D742:D760" si="250">E742+F742+G742+H742+I742+J742</f>
        <v>0</v>
      </c>
      <c r="E742" s="2">
        <v>0</v>
      </c>
      <c r="F742" s="2">
        <v>0</v>
      </c>
      <c r="G742" s="2">
        <v>0</v>
      </c>
      <c r="H742" s="2">
        <v>0</v>
      </c>
      <c r="I742" s="2">
        <v>0</v>
      </c>
      <c r="J742" s="2">
        <v>0</v>
      </c>
      <c r="K742" s="2">
        <v>0</v>
      </c>
      <c r="L742" s="2">
        <v>0</v>
      </c>
      <c r="M742" s="2">
        <v>0</v>
      </c>
      <c r="N742" s="2">
        <v>0</v>
      </c>
      <c r="O742" s="2">
        <v>0</v>
      </c>
      <c r="P742" s="2">
        <v>0</v>
      </c>
      <c r="Q742" s="2">
        <v>0</v>
      </c>
      <c r="R742" s="2">
        <v>0</v>
      </c>
      <c r="S742" s="8">
        <v>1400</v>
      </c>
      <c r="T742" s="8">
        <v>5526795.4000000004</v>
      </c>
      <c r="U742" s="2">
        <v>0</v>
      </c>
      <c r="V742" s="2">
        <v>0</v>
      </c>
      <c r="W742" s="2">
        <v>0</v>
      </c>
      <c r="X742" s="2">
        <v>0</v>
      </c>
      <c r="Y742" s="2">
        <v>0</v>
      </c>
      <c r="Z742" s="8">
        <v>432880</v>
      </c>
      <c r="AA742" s="2">
        <v>0</v>
      </c>
    </row>
    <row r="743" spans="1:27" s="75" customFormat="1" ht="42" customHeight="1">
      <c r="A743" s="76">
        <v>326</v>
      </c>
      <c r="B743" s="121" t="s">
        <v>831</v>
      </c>
      <c r="C743" s="8">
        <v>10217146.810000001</v>
      </c>
      <c r="D743" s="8">
        <v>0</v>
      </c>
      <c r="E743" s="8">
        <v>0</v>
      </c>
      <c r="F743" s="8">
        <v>0</v>
      </c>
      <c r="G743" s="8">
        <v>0</v>
      </c>
      <c r="H743" s="8">
        <v>0</v>
      </c>
      <c r="I743" s="8">
        <v>0</v>
      </c>
      <c r="J743" s="8">
        <v>0</v>
      </c>
      <c r="K743" s="8">
        <v>0</v>
      </c>
      <c r="L743" s="8">
        <v>0</v>
      </c>
      <c r="M743" s="8">
        <v>0</v>
      </c>
      <c r="N743" s="8">
        <v>0</v>
      </c>
      <c r="O743" s="8">
        <v>894</v>
      </c>
      <c r="P743" s="8">
        <v>3363063.68</v>
      </c>
      <c r="Q743" s="8">
        <v>0</v>
      </c>
      <c r="R743" s="8">
        <v>0</v>
      </c>
      <c r="S743" s="8">
        <v>1572</v>
      </c>
      <c r="T743" s="8">
        <v>6205801.6900000004</v>
      </c>
      <c r="U743" s="8">
        <v>0</v>
      </c>
      <c r="V743" s="8">
        <v>0</v>
      </c>
      <c r="W743" s="8">
        <v>0</v>
      </c>
      <c r="X743" s="8">
        <v>0</v>
      </c>
      <c r="Y743" s="8">
        <v>0</v>
      </c>
      <c r="Z743" s="8">
        <v>648281.44000000006</v>
      </c>
      <c r="AA743" s="8">
        <v>0</v>
      </c>
    </row>
    <row r="744" spans="1:27" s="75" customFormat="1" ht="37.5" customHeight="1">
      <c r="A744" s="76">
        <v>327</v>
      </c>
      <c r="B744" s="121" t="s">
        <v>830</v>
      </c>
      <c r="C744" s="8">
        <f t="shared" si="249"/>
        <v>6619334.7000000002</v>
      </c>
      <c r="D744" s="1">
        <f t="shared" si="250"/>
        <v>0</v>
      </c>
      <c r="E744" s="2">
        <v>0</v>
      </c>
      <c r="F744" s="2">
        <v>0</v>
      </c>
      <c r="G744" s="2">
        <v>0</v>
      </c>
      <c r="H744" s="2">
        <v>0</v>
      </c>
      <c r="I744" s="2">
        <v>0</v>
      </c>
      <c r="J744" s="2">
        <v>0</v>
      </c>
      <c r="K744" s="2">
        <v>0</v>
      </c>
      <c r="L744" s="2">
        <v>0</v>
      </c>
      <c r="M744" s="2">
        <v>0</v>
      </c>
      <c r="N744" s="2">
        <v>0</v>
      </c>
      <c r="O744" s="1">
        <v>722</v>
      </c>
      <c r="P744" s="1">
        <v>6138540.46</v>
      </c>
      <c r="Q744" s="2">
        <v>0</v>
      </c>
      <c r="R744" s="2">
        <v>0</v>
      </c>
      <c r="S744" s="2">
        <v>0</v>
      </c>
      <c r="T744" s="2">
        <v>0</v>
      </c>
      <c r="U744" s="2">
        <v>0</v>
      </c>
      <c r="V744" s="2">
        <v>0</v>
      </c>
      <c r="W744" s="2">
        <v>0</v>
      </c>
      <c r="X744" s="2">
        <v>0</v>
      </c>
      <c r="Y744" s="2">
        <v>0</v>
      </c>
      <c r="Z744" s="8">
        <v>480794.24</v>
      </c>
      <c r="AA744" s="2">
        <v>0</v>
      </c>
    </row>
    <row r="745" spans="1:27" s="75" customFormat="1" ht="42.75" customHeight="1">
      <c r="A745" s="76">
        <v>328</v>
      </c>
      <c r="B745" s="121" t="s">
        <v>829</v>
      </c>
      <c r="C745" s="8">
        <f t="shared" si="249"/>
        <v>2722911.92</v>
      </c>
      <c r="D745" s="1">
        <f t="shared" si="250"/>
        <v>0</v>
      </c>
      <c r="E745" s="2">
        <v>0</v>
      </c>
      <c r="F745" s="2">
        <v>0</v>
      </c>
      <c r="G745" s="2">
        <v>0</v>
      </c>
      <c r="H745" s="2">
        <v>0</v>
      </c>
      <c r="I745" s="2">
        <v>0</v>
      </c>
      <c r="J745" s="2">
        <v>0</v>
      </c>
      <c r="K745" s="2">
        <v>0</v>
      </c>
      <c r="L745" s="2">
        <v>0</v>
      </c>
      <c r="M745" s="2">
        <v>0</v>
      </c>
      <c r="N745" s="2">
        <v>0</v>
      </c>
      <c r="O745" s="1">
        <v>297</v>
      </c>
      <c r="P745" s="1">
        <v>2525133.6800000002</v>
      </c>
      <c r="Q745" s="2">
        <v>0</v>
      </c>
      <c r="R745" s="2">
        <v>0</v>
      </c>
      <c r="S745" s="2">
        <v>0</v>
      </c>
      <c r="T745" s="2">
        <v>0</v>
      </c>
      <c r="U745" s="2">
        <v>0</v>
      </c>
      <c r="V745" s="2">
        <v>0</v>
      </c>
      <c r="W745" s="2">
        <v>0</v>
      </c>
      <c r="X745" s="2">
        <v>0</v>
      </c>
      <c r="Y745" s="2">
        <v>0</v>
      </c>
      <c r="Z745" s="8">
        <v>197778.24</v>
      </c>
      <c r="AA745" s="2">
        <v>0</v>
      </c>
    </row>
    <row r="746" spans="1:27" s="75" customFormat="1" ht="42" customHeight="1">
      <c r="A746" s="76">
        <v>329</v>
      </c>
      <c r="B746" s="121" t="s">
        <v>828</v>
      </c>
      <c r="C746" s="8">
        <f t="shared" si="249"/>
        <v>5161036.72</v>
      </c>
      <c r="D746" s="1">
        <f t="shared" si="250"/>
        <v>0</v>
      </c>
      <c r="E746" s="2">
        <v>0</v>
      </c>
      <c r="F746" s="2">
        <v>0</v>
      </c>
      <c r="G746" s="2">
        <v>0</v>
      </c>
      <c r="H746" s="2">
        <v>0</v>
      </c>
      <c r="I746" s="2">
        <v>0</v>
      </c>
      <c r="J746" s="2">
        <v>0</v>
      </c>
      <c r="K746" s="2">
        <v>0</v>
      </c>
      <c r="L746" s="2">
        <v>0</v>
      </c>
      <c r="M746" s="2">
        <v>0</v>
      </c>
      <c r="N746" s="2">
        <v>0</v>
      </c>
      <c r="O746" s="1">
        <v>527</v>
      </c>
      <c r="P746" s="1">
        <v>4902095.92</v>
      </c>
      <c r="Q746" s="2">
        <v>0</v>
      </c>
      <c r="R746" s="2">
        <v>0</v>
      </c>
      <c r="S746" s="2">
        <v>0</v>
      </c>
      <c r="T746" s="2">
        <v>0</v>
      </c>
      <c r="U746" s="2">
        <v>0</v>
      </c>
      <c r="V746" s="2">
        <v>0</v>
      </c>
      <c r="W746" s="2">
        <v>0</v>
      </c>
      <c r="X746" s="2">
        <v>0</v>
      </c>
      <c r="Y746" s="2">
        <v>0</v>
      </c>
      <c r="Z746" s="8">
        <v>258940.79999999999</v>
      </c>
      <c r="AA746" s="2">
        <v>0</v>
      </c>
    </row>
    <row r="747" spans="1:27" s="75" customFormat="1" ht="29.25" customHeight="1">
      <c r="A747" s="76">
        <v>330</v>
      </c>
      <c r="B747" s="121" t="s">
        <v>827</v>
      </c>
      <c r="C747" s="8">
        <f t="shared" si="249"/>
        <v>5730479.4499999993</v>
      </c>
      <c r="D747" s="1">
        <f t="shared" si="250"/>
        <v>0</v>
      </c>
      <c r="E747" s="2">
        <v>0</v>
      </c>
      <c r="F747" s="2">
        <v>0</v>
      </c>
      <c r="G747" s="2">
        <v>0</v>
      </c>
      <c r="H747" s="2">
        <v>0</v>
      </c>
      <c r="I747" s="2">
        <v>0</v>
      </c>
      <c r="J747" s="2">
        <v>0</v>
      </c>
      <c r="K747" s="2">
        <v>0</v>
      </c>
      <c r="L747" s="2">
        <v>0</v>
      </c>
      <c r="M747" s="2">
        <v>0</v>
      </c>
      <c r="N747" s="2">
        <v>0</v>
      </c>
      <c r="O747" s="1">
        <v>582.5</v>
      </c>
      <c r="P747" s="1">
        <v>5418350.8099999996</v>
      </c>
      <c r="Q747" s="2">
        <v>0</v>
      </c>
      <c r="R747" s="2">
        <v>0</v>
      </c>
      <c r="S747" s="2">
        <v>0</v>
      </c>
      <c r="T747" s="2">
        <v>0</v>
      </c>
      <c r="U747" s="2">
        <v>0</v>
      </c>
      <c r="V747" s="2">
        <v>0</v>
      </c>
      <c r="W747" s="2">
        <v>0</v>
      </c>
      <c r="X747" s="2">
        <v>0</v>
      </c>
      <c r="Y747" s="2">
        <v>0</v>
      </c>
      <c r="Z747" s="8">
        <v>312128.64000000001</v>
      </c>
      <c r="AA747" s="2">
        <v>0</v>
      </c>
    </row>
    <row r="748" spans="1:27" s="75" customFormat="1" ht="42" customHeight="1">
      <c r="A748" s="76">
        <v>331</v>
      </c>
      <c r="B748" s="121" t="s">
        <v>826</v>
      </c>
      <c r="C748" s="8">
        <f t="shared" si="249"/>
        <v>9856653.290000001</v>
      </c>
      <c r="D748" s="1">
        <f t="shared" si="250"/>
        <v>0</v>
      </c>
      <c r="E748" s="2">
        <v>0</v>
      </c>
      <c r="F748" s="2">
        <v>0</v>
      </c>
      <c r="G748" s="2">
        <v>0</v>
      </c>
      <c r="H748" s="2">
        <v>0</v>
      </c>
      <c r="I748" s="2">
        <v>0</v>
      </c>
      <c r="J748" s="2">
        <v>0</v>
      </c>
      <c r="K748" s="2">
        <v>0</v>
      </c>
      <c r="L748" s="2">
        <v>0</v>
      </c>
      <c r="M748" s="2">
        <v>0</v>
      </c>
      <c r="N748" s="2">
        <v>0</v>
      </c>
      <c r="O748" s="1">
        <v>1023</v>
      </c>
      <c r="P748" s="1">
        <v>9140716.9700000007</v>
      </c>
      <c r="Q748" s="2">
        <v>0</v>
      </c>
      <c r="R748" s="2">
        <v>0</v>
      </c>
      <c r="S748" s="2">
        <v>0</v>
      </c>
      <c r="T748" s="2">
        <v>0</v>
      </c>
      <c r="U748" s="2">
        <v>0</v>
      </c>
      <c r="V748" s="2">
        <v>0</v>
      </c>
      <c r="W748" s="2">
        <v>0</v>
      </c>
      <c r="X748" s="2">
        <v>0</v>
      </c>
      <c r="Y748" s="2">
        <v>0</v>
      </c>
      <c r="Z748" s="8">
        <v>715936.32</v>
      </c>
      <c r="AA748" s="2">
        <v>0</v>
      </c>
    </row>
    <row r="749" spans="1:27" s="75" customFormat="1" ht="34.5" customHeight="1">
      <c r="A749" s="220">
        <v>332</v>
      </c>
      <c r="B749" s="221" t="s">
        <v>825</v>
      </c>
      <c r="C749" s="222">
        <f t="shared" si="249"/>
        <v>7676264.0200000005</v>
      </c>
      <c r="D749" s="1">
        <f t="shared" si="250"/>
        <v>0</v>
      </c>
      <c r="E749" s="2">
        <v>0</v>
      </c>
      <c r="F749" s="2">
        <v>0</v>
      </c>
      <c r="G749" s="2">
        <v>0</v>
      </c>
      <c r="H749" s="2">
        <v>0</v>
      </c>
      <c r="I749" s="2">
        <v>0</v>
      </c>
      <c r="J749" s="2">
        <v>0</v>
      </c>
      <c r="K749" s="2">
        <v>0</v>
      </c>
      <c r="L749" s="2">
        <v>0</v>
      </c>
      <c r="M749" s="2">
        <v>0</v>
      </c>
      <c r="N749" s="2">
        <v>0</v>
      </c>
      <c r="O749" s="1">
        <v>883.9</v>
      </c>
      <c r="P749" s="1">
        <v>7118699.9000000004</v>
      </c>
      <c r="Q749" s="2">
        <v>0</v>
      </c>
      <c r="R749" s="2">
        <v>0</v>
      </c>
      <c r="S749" s="2">
        <v>0</v>
      </c>
      <c r="T749" s="2">
        <v>0</v>
      </c>
      <c r="U749" s="2">
        <v>0</v>
      </c>
      <c r="V749" s="2">
        <v>0</v>
      </c>
      <c r="W749" s="2">
        <v>0</v>
      </c>
      <c r="X749" s="2">
        <v>0</v>
      </c>
      <c r="Y749" s="2">
        <v>0</v>
      </c>
      <c r="Z749" s="8">
        <v>557564.12</v>
      </c>
      <c r="AA749" s="2">
        <v>0</v>
      </c>
    </row>
    <row r="750" spans="1:27" s="75" customFormat="1" ht="39.75" customHeight="1">
      <c r="A750" s="220">
        <v>333</v>
      </c>
      <c r="B750" s="221" t="s">
        <v>824</v>
      </c>
      <c r="C750" s="222">
        <f t="shared" si="249"/>
        <v>8415723.3499999996</v>
      </c>
      <c r="D750" s="1">
        <f t="shared" si="250"/>
        <v>0</v>
      </c>
      <c r="E750" s="2">
        <v>0</v>
      </c>
      <c r="F750" s="2">
        <v>0</v>
      </c>
      <c r="G750" s="2">
        <v>0</v>
      </c>
      <c r="H750" s="2">
        <v>0</v>
      </c>
      <c r="I750" s="2">
        <v>0</v>
      </c>
      <c r="J750" s="2">
        <v>0</v>
      </c>
      <c r="K750" s="2">
        <v>0</v>
      </c>
      <c r="L750" s="2">
        <v>0</v>
      </c>
      <c r="M750" s="2">
        <v>0</v>
      </c>
      <c r="N750" s="2">
        <v>0</v>
      </c>
      <c r="O750" s="1">
        <v>0</v>
      </c>
      <c r="P750" s="1">
        <v>0</v>
      </c>
      <c r="Q750" s="2">
        <v>0</v>
      </c>
      <c r="R750" s="2">
        <v>0</v>
      </c>
      <c r="S750" s="8">
        <v>1184.0899999999999</v>
      </c>
      <c r="T750" s="8">
        <v>7804448.7300000004</v>
      </c>
      <c r="U750" s="2">
        <v>0</v>
      </c>
      <c r="V750" s="2">
        <v>0</v>
      </c>
      <c r="W750" s="2">
        <v>0</v>
      </c>
      <c r="X750" s="2">
        <v>0</v>
      </c>
      <c r="Y750" s="2">
        <v>0</v>
      </c>
      <c r="Z750" s="8">
        <v>611274.62</v>
      </c>
      <c r="AA750" s="2">
        <v>0</v>
      </c>
    </row>
    <row r="751" spans="1:27" s="75" customFormat="1" ht="36.75" customHeight="1">
      <c r="A751" s="76">
        <v>334</v>
      </c>
      <c r="B751" s="121" t="s">
        <v>823</v>
      </c>
      <c r="C751" s="8">
        <f t="shared" si="249"/>
        <v>6827112.71</v>
      </c>
      <c r="D751" s="1">
        <f t="shared" si="250"/>
        <v>6331226.5499999998</v>
      </c>
      <c r="E751" s="2">
        <v>0</v>
      </c>
      <c r="F751" s="1">
        <v>6331226.5499999998</v>
      </c>
      <c r="G751" s="2">
        <v>0</v>
      </c>
      <c r="H751" s="2">
        <v>0</v>
      </c>
      <c r="I751" s="2">
        <v>0</v>
      </c>
      <c r="J751" s="2">
        <v>0</v>
      </c>
      <c r="K751" s="2">
        <v>0</v>
      </c>
      <c r="L751" s="2">
        <v>0</v>
      </c>
      <c r="M751" s="2">
        <v>0</v>
      </c>
      <c r="N751" s="2">
        <v>0</v>
      </c>
      <c r="O751" s="2">
        <v>0</v>
      </c>
      <c r="P751" s="2">
        <v>0</v>
      </c>
      <c r="Q751" s="2">
        <v>0</v>
      </c>
      <c r="R751" s="2">
        <v>0</v>
      </c>
      <c r="S751" s="2">
        <v>0</v>
      </c>
      <c r="T751" s="2">
        <v>0</v>
      </c>
      <c r="U751" s="2">
        <v>0</v>
      </c>
      <c r="V751" s="2">
        <v>0</v>
      </c>
      <c r="W751" s="2">
        <v>0</v>
      </c>
      <c r="X751" s="2">
        <v>0</v>
      </c>
      <c r="Y751" s="2">
        <v>0</v>
      </c>
      <c r="Z751" s="1">
        <v>495886.16</v>
      </c>
      <c r="AA751" s="2">
        <v>0</v>
      </c>
    </row>
    <row r="752" spans="1:27" s="75" customFormat="1" ht="39.75" customHeight="1">
      <c r="A752" s="220">
        <v>335</v>
      </c>
      <c r="B752" s="221" t="s">
        <v>822</v>
      </c>
      <c r="C752" s="222">
        <f t="shared" si="249"/>
        <v>422978.9</v>
      </c>
      <c r="D752" s="1">
        <f t="shared" si="250"/>
        <v>392255.9</v>
      </c>
      <c r="E752" s="1">
        <v>392255.9</v>
      </c>
      <c r="F752" s="2">
        <v>0</v>
      </c>
      <c r="G752" s="2">
        <v>0</v>
      </c>
      <c r="H752" s="2">
        <v>0</v>
      </c>
      <c r="I752" s="2">
        <v>0</v>
      </c>
      <c r="J752" s="2">
        <v>0</v>
      </c>
      <c r="K752" s="2">
        <v>0</v>
      </c>
      <c r="L752" s="2">
        <v>0</v>
      </c>
      <c r="M752" s="2">
        <v>0</v>
      </c>
      <c r="N752" s="2">
        <v>0</v>
      </c>
      <c r="O752" s="2">
        <v>0</v>
      </c>
      <c r="P752" s="2">
        <v>0</v>
      </c>
      <c r="Q752" s="2">
        <v>0</v>
      </c>
      <c r="R752" s="2">
        <v>0</v>
      </c>
      <c r="S752" s="2">
        <v>0</v>
      </c>
      <c r="T752" s="2">
        <v>0</v>
      </c>
      <c r="U752" s="2">
        <v>0</v>
      </c>
      <c r="V752" s="2">
        <v>0</v>
      </c>
      <c r="W752" s="2">
        <v>0</v>
      </c>
      <c r="X752" s="2">
        <v>0</v>
      </c>
      <c r="Y752" s="2">
        <v>0</v>
      </c>
      <c r="Z752" s="1">
        <v>30723</v>
      </c>
      <c r="AA752" s="2">
        <v>0</v>
      </c>
    </row>
    <row r="753" spans="1:27" s="75" customFormat="1" ht="34.5" customHeight="1">
      <c r="A753" s="76">
        <v>336</v>
      </c>
      <c r="B753" s="121" t="s">
        <v>821</v>
      </c>
      <c r="C753" s="8">
        <f t="shared" si="249"/>
        <v>12939280.24</v>
      </c>
      <c r="D753" s="1">
        <f t="shared" si="250"/>
        <v>0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  <c r="J753" s="2">
        <v>0</v>
      </c>
      <c r="K753" s="2">
        <v>0</v>
      </c>
      <c r="L753" s="2">
        <v>0</v>
      </c>
      <c r="M753" s="2">
        <v>0</v>
      </c>
      <c r="N753" s="2">
        <v>0</v>
      </c>
      <c r="O753" s="1">
        <v>1290</v>
      </c>
      <c r="P753" s="1">
        <v>11999437.84</v>
      </c>
      <c r="Q753" s="2">
        <v>0</v>
      </c>
      <c r="R753" s="2">
        <v>0</v>
      </c>
      <c r="S753" s="2">
        <v>0</v>
      </c>
      <c r="T753" s="2">
        <v>0</v>
      </c>
      <c r="U753" s="2">
        <v>0</v>
      </c>
      <c r="V753" s="2">
        <v>0</v>
      </c>
      <c r="W753" s="2">
        <v>0</v>
      </c>
      <c r="X753" s="2">
        <v>0</v>
      </c>
      <c r="Y753" s="2">
        <v>0</v>
      </c>
      <c r="Z753" s="8">
        <v>939842.4</v>
      </c>
      <c r="AA753" s="2">
        <v>0</v>
      </c>
    </row>
    <row r="754" spans="1:27" s="75" customFormat="1" ht="40.5" customHeight="1">
      <c r="A754" s="76">
        <v>337</v>
      </c>
      <c r="B754" s="62" t="s">
        <v>816</v>
      </c>
      <c r="C754" s="8">
        <f t="shared" si="249"/>
        <v>7289383.3799999999</v>
      </c>
      <c r="D754" s="1">
        <f t="shared" si="250"/>
        <v>0</v>
      </c>
      <c r="E754" s="2">
        <v>0</v>
      </c>
      <c r="F754" s="2">
        <v>0</v>
      </c>
      <c r="G754" s="2">
        <v>0</v>
      </c>
      <c r="H754" s="2">
        <v>0</v>
      </c>
      <c r="I754" s="2">
        <v>0</v>
      </c>
      <c r="J754" s="2">
        <v>0</v>
      </c>
      <c r="K754" s="2">
        <v>0</v>
      </c>
      <c r="L754" s="2">
        <v>0</v>
      </c>
      <c r="M754" s="2">
        <v>0</v>
      </c>
      <c r="N754" s="2">
        <v>0</v>
      </c>
      <c r="O754" s="1">
        <v>900</v>
      </c>
      <c r="P754" s="8">
        <v>6998326.3799999999</v>
      </c>
      <c r="Q754" s="2">
        <v>0</v>
      </c>
      <c r="R754" s="2">
        <v>0</v>
      </c>
      <c r="S754" s="2">
        <v>0</v>
      </c>
      <c r="T754" s="2">
        <v>0</v>
      </c>
      <c r="U754" s="2">
        <v>0</v>
      </c>
      <c r="V754" s="2">
        <v>0</v>
      </c>
      <c r="W754" s="2">
        <v>0</v>
      </c>
      <c r="X754" s="2">
        <v>0</v>
      </c>
      <c r="Y754" s="2">
        <v>0</v>
      </c>
      <c r="Z754" s="8">
        <v>291057</v>
      </c>
      <c r="AA754" s="2">
        <v>0</v>
      </c>
    </row>
    <row r="755" spans="1:27" s="75" customFormat="1" ht="35.25" customHeight="1">
      <c r="A755" s="76">
        <v>338</v>
      </c>
      <c r="B755" s="62" t="s">
        <v>817</v>
      </c>
      <c r="C755" s="8">
        <f t="shared" si="249"/>
        <v>1992301.3</v>
      </c>
      <c r="D755" s="1">
        <f t="shared" si="250"/>
        <v>0</v>
      </c>
      <c r="E755" s="2">
        <v>0</v>
      </c>
      <c r="F755" s="2">
        <v>0</v>
      </c>
      <c r="G755" s="2">
        <v>0</v>
      </c>
      <c r="H755" s="2">
        <v>0</v>
      </c>
      <c r="I755" s="2">
        <v>0</v>
      </c>
      <c r="J755" s="2">
        <v>0</v>
      </c>
      <c r="K755" s="2">
        <v>0</v>
      </c>
      <c r="L755" s="2">
        <v>0</v>
      </c>
      <c r="M755" s="2">
        <v>0</v>
      </c>
      <c r="N755" s="2">
        <v>0</v>
      </c>
      <c r="O755" s="1">
        <v>299</v>
      </c>
      <c r="P755" s="8">
        <v>1918208.61</v>
      </c>
      <c r="Q755" s="2">
        <v>0</v>
      </c>
      <c r="R755" s="2">
        <v>0</v>
      </c>
      <c r="S755" s="2">
        <v>0</v>
      </c>
      <c r="T755" s="2">
        <v>0</v>
      </c>
      <c r="U755" s="2">
        <v>0</v>
      </c>
      <c r="V755" s="2">
        <v>0</v>
      </c>
      <c r="W755" s="2">
        <v>0</v>
      </c>
      <c r="X755" s="2">
        <v>0</v>
      </c>
      <c r="Y755" s="2">
        <v>0</v>
      </c>
      <c r="Z755" s="8">
        <v>74092.69</v>
      </c>
      <c r="AA755" s="2">
        <v>0</v>
      </c>
    </row>
    <row r="756" spans="1:27" s="75" customFormat="1" ht="34.5" customHeight="1">
      <c r="A756" s="76">
        <v>339</v>
      </c>
      <c r="B756" s="62" t="s">
        <v>866</v>
      </c>
      <c r="C756" s="8">
        <f t="shared" si="249"/>
        <v>3874020.3</v>
      </c>
      <c r="D756" s="1">
        <f t="shared" si="250"/>
        <v>0</v>
      </c>
      <c r="E756" s="2">
        <v>0</v>
      </c>
      <c r="F756" s="2">
        <v>0</v>
      </c>
      <c r="G756" s="2">
        <v>0</v>
      </c>
      <c r="H756" s="2">
        <v>0</v>
      </c>
      <c r="I756" s="2">
        <v>0</v>
      </c>
      <c r="J756" s="2">
        <v>0</v>
      </c>
      <c r="K756" s="2">
        <v>0</v>
      </c>
      <c r="L756" s="2">
        <v>0</v>
      </c>
      <c r="M756" s="2">
        <v>0</v>
      </c>
      <c r="N756" s="2">
        <v>0</v>
      </c>
      <c r="O756" s="1">
        <v>560</v>
      </c>
      <c r="P756" s="8">
        <v>3592631.5</v>
      </c>
      <c r="Q756" s="2">
        <v>0</v>
      </c>
      <c r="R756" s="2">
        <v>0</v>
      </c>
      <c r="S756" s="2">
        <v>0</v>
      </c>
      <c r="T756" s="2">
        <v>0</v>
      </c>
      <c r="U756" s="2">
        <v>0</v>
      </c>
      <c r="V756" s="2">
        <v>0</v>
      </c>
      <c r="W756" s="2">
        <v>0</v>
      </c>
      <c r="X756" s="2">
        <v>0</v>
      </c>
      <c r="Y756" s="2">
        <v>0</v>
      </c>
      <c r="Z756" s="8">
        <v>281388.79999999999</v>
      </c>
      <c r="AA756" s="2">
        <v>0</v>
      </c>
    </row>
    <row r="757" spans="1:27" s="75" customFormat="1" ht="35.25" customHeight="1">
      <c r="A757" s="76">
        <v>340</v>
      </c>
      <c r="B757" s="124" t="s">
        <v>819</v>
      </c>
      <c r="C757" s="8">
        <f t="shared" si="249"/>
        <v>8208861.96</v>
      </c>
      <c r="D757" s="1">
        <f t="shared" si="250"/>
        <v>0</v>
      </c>
      <c r="E757" s="2">
        <v>0</v>
      </c>
      <c r="F757" s="2">
        <v>0</v>
      </c>
      <c r="G757" s="2">
        <v>0</v>
      </c>
      <c r="H757" s="2">
        <v>0</v>
      </c>
      <c r="I757" s="2">
        <v>0</v>
      </c>
      <c r="J757" s="2">
        <v>0</v>
      </c>
      <c r="K757" s="2">
        <v>0</v>
      </c>
      <c r="L757" s="2">
        <v>0</v>
      </c>
      <c r="M757" s="2">
        <v>0</v>
      </c>
      <c r="N757" s="2">
        <v>0</v>
      </c>
      <c r="O757" s="2">
        <v>0</v>
      </c>
      <c r="P757" s="2">
        <v>0</v>
      </c>
      <c r="Q757" s="2">
        <v>0</v>
      </c>
      <c r="R757" s="2">
        <v>0</v>
      </c>
      <c r="S757" s="8">
        <v>2596</v>
      </c>
      <c r="T757" s="8">
        <v>7612612.6799999997</v>
      </c>
      <c r="U757" s="2">
        <v>0</v>
      </c>
      <c r="V757" s="2">
        <v>0</v>
      </c>
      <c r="W757" s="2">
        <v>0</v>
      </c>
      <c r="X757" s="2">
        <v>0</v>
      </c>
      <c r="Y757" s="2">
        <v>0</v>
      </c>
      <c r="Z757" s="8">
        <v>596249.28</v>
      </c>
      <c r="AA757" s="2">
        <v>0</v>
      </c>
    </row>
    <row r="758" spans="1:27" s="75" customFormat="1" ht="36.75" customHeight="1">
      <c r="A758" s="76">
        <v>341</v>
      </c>
      <c r="B758" s="124" t="s">
        <v>820</v>
      </c>
      <c r="C758" s="8">
        <f t="shared" si="249"/>
        <v>7221755.1900000004</v>
      </c>
      <c r="D758" s="1">
        <f t="shared" si="250"/>
        <v>0</v>
      </c>
      <c r="E758" s="2">
        <v>0</v>
      </c>
      <c r="F758" s="2">
        <v>0</v>
      </c>
      <c r="G758" s="2">
        <v>0</v>
      </c>
      <c r="H758" s="2">
        <v>0</v>
      </c>
      <c r="I758" s="2">
        <v>0</v>
      </c>
      <c r="J758" s="2">
        <v>0</v>
      </c>
      <c r="K758" s="2">
        <v>0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  <c r="R758" s="2">
        <v>0</v>
      </c>
      <c r="S758" s="8">
        <v>1374</v>
      </c>
      <c r="T758" s="8">
        <v>4052395.83</v>
      </c>
      <c r="U758" s="8">
        <v>378</v>
      </c>
      <c r="V758" s="8">
        <f>1681722+1085238</f>
        <v>2766960</v>
      </c>
      <c r="W758" s="2">
        <v>0</v>
      </c>
      <c r="X758" s="2">
        <v>0</v>
      </c>
      <c r="Y758" s="2">
        <v>0</v>
      </c>
      <c r="Z758" s="8">
        <v>402399.36</v>
      </c>
      <c r="AA758" s="2">
        <v>0</v>
      </c>
    </row>
    <row r="759" spans="1:27" s="75" customFormat="1" ht="35.25" customHeight="1">
      <c r="A759" s="76">
        <v>342</v>
      </c>
      <c r="B759" s="124" t="s">
        <v>450</v>
      </c>
      <c r="C759" s="8">
        <f t="shared" si="249"/>
        <v>1245533</v>
      </c>
      <c r="D759" s="1">
        <f t="shared" si="250"/>
        <v>0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  <c r="J759" s="2">
        <v>0</v>
      </c>
      <c r="K759" s="2">
        <v>0</v>
      </c>
      <c r="L759" s="2">
        <v>0</v>
      </c>
      <c r="M759" s="2">
        <v>0</v>
      </c>
      <c r="N759" s="2">
        <v>0</v>
      </c>
      <c r="O759" s="2">
        <v>0</v>
      </c>
      <c r="P759" s="1">
        <v>1155064</v>
      </c>
      <c r="Q759" s="2">
        <v>0</v>
      </c>
      <c r="R759" s="2">
        <v>0</v>
      </c>
      <c r="S759" s="2">
        <v>0</v>
      </c>
      <c r="T759" s="2">
        <v>0</v>
      </c>
      <c r="U759" s="2">
        <v>0</v>
      </c>
      <c r="V759" s="2">
        <v>0</v>
      </c>
      <c r="W759" s="2">
        <v>0</v>
      </c>
      <c r="X759" s="2">
        <v>0</v>
      </c>
      <c r="Y759" s="2">
        <v>0</v>
      </c>
      <c r="Z759" s="8">
        <v>90469</v>
      </c>
      <c r="AA759" s="2">
        <v>0</v>
      </c>
    </row>
    <row r="760" spans="1:27" s="75" customFormat="1" ht="33" customHeight="1">
      <c r="A760" s="220">
        <v>343</v>
      </c>
      <c r="B760" s="223" t="s">
        <v>452</v>
      </c>
      <c r="C760" s="222">
        <f t="shared" si="249"/>
        <v>8152803.21</v>
      </c>
      <c r="D760" s="1">
        <f t="shared" si="250"/>
        <v>0</v>
      </c>
      <c r="E760" s="2">
        <v>0</v>
      </c>
      <c r="F760" s="2">
        <v>0</v>
      </c>
      <c r="G760" s="2">
        <v>0</v>
      </c>
      <c r="H760" s="2">
        <v>0</v>
      </c>
      <c r="I760" s="2">
        <v>0</v>
      </c>
      <c r="J760" s="2">
        <v>0</v>
      </c>
      <c r="K760" s="2">
        <v>0</v>
      </c>
      <c r="L760" s="2">
        <v>0</v>
      </c>
      <c r="M760" s="2">
        <v>0</v>
      </c>
      <c r="N760" s="2">
        <v>0</v>
      </c>
      <c r="O760" s="3">
        <v>1421.09</v>
      </c>
      <c r="P760" s="1">
        <v>7653766.4900000002</v>
      </c>
      <c r="Q760" s="2">
        <v>0</v>
      </c>
      <c r="R760" s="2">
        <v>0</v>
      </c>
      <c r="S760" s="2">
        <v>0</v>
      </c>
      <c r="T760" s="2">
        <v>0</v>
      </c>
      <c r="U760" s="2">
        <v>0</v>
      </c>
      <c r="V760" s="2">
        <v>0</v>
      </c>
      <c r="W760" s="2">
        <v>0</v>
      </c>
      <c r="X760" s="2">
        <v>0</v>
      </c>
      <c r="Y760" s="2">
        <v>0</v>
      </c>
      <c r="Z760" s="8">
        <v>499036.72</v>
      </c>
      <c r="AA760" s="2">
        <v>0</v>
      </c>
    </row>
    <row r="761" spans="1:27" s="75" customFormat="1" ht="39" customHeight="1">
      <c r="A761" s="158" t="s">
        <v>327</v>
      </c>
      <c r="B761" s="160"/>
      <c r="C761" s="1">
        <f>SUM(C762)</f>
        <v>5436503.79</v>
      </c>
      <c r="D761" s="1">
        <f t="shared" ref="D761:AA761" si="251">SUM(D762)</f>
        <v>0</v>
      </c>
      <c r="E761" s="1">
        <f t="shared" si="251"/>
        <v>0</v>
      </c>
      <c r="F761" s="1">
        <f t="shared" si="251"/>
        <v>0</v>
      </c>
      <c r="G761" s="1">
        <f t="shared" si="251"/>
        <v>0</v>
      </c>
      <c r="H761" s="1">
        <f t="shared" si="251"/>
        <v>0</v>
      </c>
      <c r="I761" s="1">
        <f t="shared" si="251"/>
        <v>0</v>
      </c>
      <c r="J761" s="1">
        <f t="shared" si="251"/>
        <v>0</v>
      </c>
      <c r="K761" s="1">
        <f t="shared" si="251"/>
        <v>0</v>
      </c>
      <c r="L761" s="1">
        <f t="shared" si="251"/>
        <v>0</v>
      </c>
      <c r="M761" s="1">
        <f t="shared" si="251"/>
        <v>0</v>
      </c>
      <c r="N761" s="1">
        <f t="shared" si="251"/>
        <v>0</v>
      </c>
      <c r="O761" s="1">
        <f t="shared" si="251"/>
        <v>542</v>
      </c>
      <c r="P761" s="1">
        <f t="shared" si="251"/>
        <v>5041624.2699999996</v>
      </c>
      <c r="Q761" s="1">
        <f t="shared" si="251"/>
        <v>0</v>
      </c>
      <c r="R761" s="1">
        <f t="shared" si="251"/>
        <v>0</v>
      </c>
      <c r="S761" s="1">
        <f t="shared" si="251"/>
        <v>0</v>
      </c>
      <c r="T761" s="1">
        <f t="shared" si="251"/>
        <v>0</v>
      </c>
      <c r="U761" s="1">
        <f t="shared" si="251"/>
        <v>0</v>
      </c>
      <c r="V761" s="1">
        <f t="shared" si="251"/>
        <v>0</v>
      </c>
      <c r="W761" s="1">
        <f t="shared" si="251"/>
        <v>0</v>
      </c>
      <c r="X761" s="1">
        <f t="shared" si="251"/>
        <v>0</v>
      </c>
      <c r="Y761" s="1">
        <f t="shared" si="251"/>
        <v>0</v>
      </c>
      <c r="Z761" s="1">
        <f t="shared" si="251"/>
        <v>394879.52</v>
      </c>
      <c r="AA761" s="1">
        <f t="shared" si="251"/>
        <v>0</v>
      </c>
    </row>
    <row r="762" spans="1:27" s="75" customFormat="1" ht="29.25" customHeight="1">
      <c r="A762" s="76">
        <v>344</v>
      </c>
      <c r="B762" s="93" t="s">
        <v>832</v>
      </c>
      <c r="C762" s="117">
        <v>5436503.79</v>
      </c>
      <c r="D762" s="117">
        <v>0</v>
      </c>
      <c r="E762" s="2">
        <v>0</v>
      </c>
      <c r="F762" s="2">
        <v>0</v>
      </c>
      <c r="G762" s="2">
        <v>0</v>
      </c>
      <c r="H762" s="2">
        <v>0</v>
      </c>
      <c r="I762" s="2">
        <v>0</v>
      </c>
      <c r="J762" s="2">
        <v>0</v>
      </c>
      <c r="K762" s="2">
        <v>0</v>
      </c>
      <c r="L762" s="2">
        <v>0</v>
      </c>
      <c r="M762" s="2">
        <v>0</v>
      </c>
      <c r="N762" s="2">
        <v>0</v>
      </c>
      <c r="O762" s="3">
        <v>542</v>
      </c>
      <c r="P762" s="117">
        <v>5041624.2699999996</v>
      </c>
      <c r="Q762" s="2">
        <v>0</v>
      </c>
      <c r="R762" s="2">
        <v>0</v>
      </c>
      <c r="S762" s="2">
        <v>0</v>
      </c>
      <c r="T762" s="2">
        <v>0</v>
      </c>
      <c r="U762" s="2">
        <v>0</v>
      </c>
      <c r="V762" s="2">
        <v>0</v>
      </c>
      <c r="W762" s="2">
        <v>0</v>
      </c>
      <c r="X762" s="2">
        <v>0</v>
      </c>
      <c r="Y762" s="2">
        <v>0</v>
      </c>
      <c r="Z762" s="118">
        <v>394879.52</v>
      </c>
      <c r="AA762" s="2">
        <v>0</v>
      </c>
    </row>
    <row r="763" spans="1:27" s="75" customFormat="1" ht="27" customHeight="1">
      <c r="A763" s="158" t="s">
        <v>141</v>
      </c>
      <c r="B763" s="160"/>
      <c r="C763" s="1">
        <f>SUM(C764)</f>
        <v>6433203.5</v>
      </c>
      <c r="D763" s="1">
        <f t="shared" ref="D763:AA763" si="252">SUM(D764)</f>
        <v>0</v>
      </c>
      <c r="E763" s="1">
        <f t="shared" si="252"/>
        <v>0</v>
      </c>
      <c r="F763" s="1">
        <f t="shared" si="252"/>
        <v>0</v>
      </c>
      <c r="G763" s="1">
        <f t="shared" si="252"/>
        <v>0</v>
      </c>
      <c r="H763" s="1">
        <f t="shared" si="252"/>
        <v>0</v>
      </c>
      <c r="I763" s="1">
        <f t="shared" si="252"/>
        <v>0</v>
      </c>
      <c r="J763" s="1">
        <f t="shared" si="252"/>
        <v>0</v>
      </c>
      <c r="K763" s="1">
        <f t="shared" si="252"/>
        <v>0</v>
      </c>
      <c r="L763" s="1">
        <f t="shared" si="252"/>
        <v>0</v>
      </c>
      <c r="M763" s="1">
        <f t="shared" si="252"/>
        <v>0</v>
      </c>
      <c r="N763" s="1">
        <f t="shared" si="252"/>
        <v>0</v>
      </c>
      <c r="O763" s="1">
        <f t="shared" si="252"/>
        <v>697</v>
      </c>
      <c r="P763" s="1">
        <f t="shared" si="252"/>
        <v>6227839.4199999999</v>
      </c>
      <c r="Q763" s="1">
        <f t="shared" si="252"/>
        <v>0</v>
      </c>
      <c r="R763" s="1">
        <f t="shared" si="252"/>
        <v>0</v>
      </c>
      <c r="S763" s="1">
        <f t="shared" si="252"/>
        <v>0</v>
      </c>
      <c r="T763" s="1">
        <f t="shared" si="252"/>
        <v>0</v>
      </c>
      <c r="U763" s="1">
        <f t="shared" si="252"/>
        <v>0</v>
      </c>
      <c r="V763" s="1">
        <f t="shared" si="252"/>
        <v>0</v>
      </c>
      <c r="W763" s="1">
        <f t="shared" si="252"/>
        <v>0</v>
      </c>
      <c r="X763" s="1">
        <f t="shared" si="252"/>
        <v>0</v>
      </c>
      <c r="Y763" s="1">
        <f t="shared" si="252"/>
        <v>0</v>
      </c>
      <c r="Z763" s="1">
        <f t="shared" si="252"/>
        <v>205364.08</v>
      </c>
      <c r="AA763" s="1">
        <f t="shared" si="252"/>
        <v>0</v>
      </c>
    </row>
    <row r="764" spans="1:27" s="75" customFormat="1" ht="36" customHeight="1">
      <c r="A764" s="76">
        <v>345</v>
      </c>
      <c r="B764" s="121" t="s">
        <v>561</v>
      </c>
      <c r="C764" s="1">
        <f>D764+L764+N764+P764+R764+T764+V764+X764+Y764+Z764+AA764</f>
        <v>6433203.5</v>
      </c>
      <c r="D764" s="1">
        <f>E764+F764+G764+H764+I764+J764</f>
        <v>0</v>
      </c>
      <c r="E764" s="2">
        <v>0</v>
      </c>
      <c r="F764" s="2">
        <v>0</v>
      </c>
      <c r="G764" s="2">
        <v>0</v>
      </c>
      <c r="H764" s="2">
        <v>0</v>
      </c>
      <c r="I764" s="2">
        <v>0</v>
      </c>
      <c r="J764" s="2">
        <v>0</v>
      </c>
      <c r="K764" s="2">
        <v>0</v>
      </c>
      <c r="L764" s="2">
        <v>0</v>
      </c>
      <c r="M764" s="2">
        <v>0</v>
      </c>
      <c r="N764" s="3">
        <v>0</v>
      </c>
      <c r="O764" s="3">
        <v>697</v>
      </c>
      <c r="P764" s="1">
        <v>6227839.4199999999</v>
      </c>
      <c r="Q764" s="2">
        <v>0</v>
      </c>
      <c r="R764" s="2">
        <v>0</v>
      </c>
      <c r="S764" s="2">
        <v>0</v>
      </c>
      <c r="T764" s="2">
        <v>0</v>
      </c>
      <c r="U764" s="2">
        <v>0</v>
      </c>
      <c r="V764" s="2">
        <v>0</v>
      </c>
      <c r="W764" s="2">
        <v>0</v>
      </c>
      <c r="X764" s="2">
        <v>0</v>
      </c>
      <c r="Y764" s="2">
        <v>0</v>
      </c>
      <c r="Z764" s="1">
        <v>205364.08</v>
      </c>
      <c r="AA764" s="2">
        <v>0</v>
      </c>
    </row>
    <row r="765" spans="1:27" s="75" customFormat="1" ht="36" customHeight="1">
      <c r="A765" s="158" t="s">
        <v>181</v>
      </c>
      <c r="B765" s="160"/>
      <c r="C765" s="1">
        <f>C766</f>
        <v>3176559.94</v>
      </c>
      <c r="D765" s="1">
        <f t="shared" ref="D765:AA765" si="253">D766</f>
        <v>0</v>
      </c>
      <c r="E765" s="1">
        <f t="shared" si="253"/>
        <v>0</v>
      </c>
      <c r="F765" s="1">
        <f t="shared" si="253"/>
        <v>0</v>
      </c>
      <c r="G765" s="1">
        <f t="shared" si="253"/>
        <v>0</v>
      </c>
      <c r="H765" s="1">
        <f t="shared" si="253"/>
        <v>0</v>
      </c>
      <c r="I765" s="1">
        <f t="shared" si="253"/>
        <v>0</v>
      </c>
      <c r="J765" s="1">
        <f t="shared" si="253"/>
        <v>0</v>
      </c>
      <c r="K765" s="1">
        <f t="shared" si="253"/>
        <v>0</v>
      </c>
      <c r="L765" s="1">
        <f t="shared" si="253"/>
        <v>0</v>
      </c>
      <c r="M765" s="1">
        <f t="shared" si="253"/>
        <v>0</v>
      </c>
      <c r="N765" s="1">
        <f t="shared" si="253"/>
        <v>0</v>
      </c>
      <c r="O765" s="1">
        <f t="shared" si="253"/>
        <v>584.37</v>
      </c>
      <c r="P765" s="1">
        <f t="shared" si="253"/>
        <v>3023174.5</v>
      </c>
      <c r="Q765" s="1">
        <f t="shared" si="253"/>
        <v>0</v>
      </c>
      <c r="R765" s="1">
        <f t="shared" si="253"/>
        <v>0</v>
      </c>
      <c r="S765" s="1">
        <f t="shared" si="253"/>
        <v>0</v>
      </c>
      <c r="T765" s="1">
        <f t="shared" si="253"/>
        <v>0</v>
      </c>
      <c r="U765" s="1">
        <f t="shared" si="253"/>
        <v>0</v>
      </c>
      <c r="V765" s="1">
        <f t="shared" si="253"/>
        <v>0</v>
      </c>
      <c r="W765" s="1">
        <f t="shared" si="253"/>
        <v>0</v>
      </c>
      <c r="X765" s="1">
        <f t="shared" si="253"/>
        <v>0</v>
      </c>
      <c r="Y765" s="1">
        <f t="shared" si="253"/>
        <v>0</v>
      </c>
      <c r="Z765" s="1">
        <f t="shared" si="253"/>
        <v>153385.44</v>
      </c>
      <c r="AA765" s="1">
        <f t="shared" si="253"/>
        <v>0</v>
      </c>
    </row>
    <row r="766" spans="1:27" s="75" customFormat="1" ht="33.75" customHeight="1">
      <c r="A766" s="76">
        <v>346</v>
      </c>
      <c r="B766" s="121" t="s">
        <v>562</v>
      </c>
      <c r="C766" s="1">
        <f>D766+L766+N766+P766+R766+T766+V766+X766+Y766+Z766+AA766</f>
        <v>3176559.94</v>
      </c>
      <c r="D766" s="1">
        <f>E766+F766+G766+H766+I766+J766</f>
        <v>0</v>
      </c>
      <c r="E766" s="2">
        <v>0</v>
      </c>
      <c r="F766" s="2">
        <v>0</v>
      </c>
      <c r="G766" s="2">
        <v>0</v>
      </c>
      <c r="H766" s="2">
        <v>0</v>
      </c>
      <c r="I766" s="2">
        <v>0</v>
      </c>
      <c r="J766" s="2">
        <v>0</v>
      </c>
      <c r="K766" s="2">
        <v>0</v>
      </c>
      <c r="L766" s="2">
        <v>0</v>
      </c>
      <c r="M766" s="2">
        <v>0</v>
      </c>
      <c r="N766" s="2">
        <v>0</v>
      </c>
      <c r="O766" s="3">
        <v>584.37</v>
      </c>
      <c r="P766" s="1">
        <v>3023174.5</v>
      </c>
      <c r="Q766" s="2">
        <v>0</v>
      </c>
      <c r="R766" s="2">
        <v>0</v>
      </c>
      <c r="S766" s="2">
        <v>0</v>
      </c>
      <c r="T766" s="2">
        <v>0</v>
      </c>
      <c r="U766" s="2">
        <v>0</v>
      </c>
      <c r="V766" s="2">
        <v>0</v>
      </c>
      <c r="W766" s="2">
        <v>0</v>
      </c>
      <c r="X766" s="2">
        <v>0</v>
      </c>
      <c r="Y766" s="2">
        <v>0</v>
      </c>
      <c r="Z766" s="4">
        <v>153385.44</v>
      </c>
      <c r="AA766" s="2">
        <v>0</v>
      </c>
    </row>
    <row r="767" spans="1:27" s="75" customFormat="1" ht="30" customHeight="1">
      <c r="A767" s="158" t="s">
        <v>139</v>
      </c>
      <c r="B767" s="160"/>
      <c r="C767" s="1">
        <f>SUM(C768)</f>
        <v>6445590.3599999994</v>
      </c>
      <c r="D767" s="1">
        <f t="shared" ref="D767:AA767" si="254">SUM(D768)</f>
        <v>0</v>
      </c>
      <c r="E767" s="1">
        <f t="shared" si="254"/>
        <v>0</v>
      </c>
      <c r="F767" s="1">
        <f t="shared" si="254"/>
        <v>0</v>
      </c>
      <c r="G767" s="1">
        <f t="shared" si="254"/>
        <v>0</v>
      </c>
      <c r="H767" s="1">
        <f t="shared" si="254"/>
        <v>0</v>
      </c>
      <c r="I767" s="1">
        <f t="shared" si="254"/>
        <v>0</v>
      </c>
      <c r="J767" s="1">
        <f t="shared" si="254"/>
        <v>0</v>
      </c>
      <c r="K767" s="1">
        <f t="shared" si="254"/>
        <v>0</v>
      </c>
      <c r="L767" s="1">
        <f t="shared" si="254"/>
        <v>0</v>
      </c>
      <c r="M767" s="1">
        <f t="shared" si="254"/>
        <v>0</v>
      </c>
      <c r="N767" s="1">
        <f t="shared" si="254"/>
        <v>0</v>
      </c>
      <c r="O767" s="1">
        <f t="shared" si="254"/>
        <v>665</v>
      </c>
      <c r="P767" s="1">
        <f t="shared" si="254"/>
        <v>6185756.7199999997</v>
      </c>
      <c r="Q767" s="1">
        <f t="shared" si="254"/>
        <v>0</v>
      </c>
      <c r="R767" s="1">
        <f t="shared" si="254"/>
        <v>0</v>
      </c>
      <c r="S767" s="1">
        <f t="shared" si="254"/>
        <v>0</v>
      </c>
      <c r="T767" s="1">
        <f t="shared" si="254"/>
        <v>0</v>
      </c>
      <c r="U767" s="1">
        <f t="shared" si="254"/>
        <v>0</v>
      </c>
      <c r="V767" s="1">
        <f t="shared" si="254"/>
        <v>0</v>
      </c>
      <c r="W767" s="1">
        <f t="shared" si="254"/>
        <v>0</v>
      </c>
      <c r="X767" s="1">
        <f t="shared" si="254"/>
        <v>0</v>
      </c>
      <c r="Y767" s="1">
        <f t="shared" si="254"/>
        <v>0</v>
      </c>
      <c r="Z767" s="1">
        <f t="shared" si="254"/>
        <v>259833.64</v>
      </c>
      <c r="AA767" s="1">
        <f t="shared" si="254"/>
        <v>0</v>
      </c>
    </row>
    <row r="768" spans="1:27" s="75" customFormat="1" ht="35.25" customHeight="1">
      <c r="A768" s="76">
        <v>347</v>
      </c>
      <c r="B768" s="121" t="s">
        <v>140</v>
      </c>
      <c r="C768" s="1">
        <f>D768+L768+N768+P768+R768+T768+V768+X768+Y768+Z768+AA768</f>
        <v>6445590.3599999994</v>
      </c>
      <c r="D768" s="1">
        <f>E768+F768+G768+H768+I768+J768</f>
        <v>0</v>
      </c>
      <c r="E768" s="2">
        <v>0</v>
      </c>
      <c r="F768" s="2">
        <v>0</v>
      </c>
      <c r="G768" s="2">
        <v>0</v>
      </c>
      <c r="H768" s="2">
        <v>0</v>
      </c>
      <c r="I768" s="2">
        <v>0</v>
      </c>
      <c r="J768" s="2">
        <v>0</v>
      </c>
      <c r="K768" s="2">
        <v>0</v>
      </c>
      <c r="L768" s="2">
        <v>0</v>
      </c>
      <c r="M768" s="2">
        <v>0</v>
      </c>
      <c r="N768" s="3">
        <v>0</v>
      </c>
      <c r="O768" s="3">
        <v>665</v>
      </c>
      <c r="P768" s="1">
        <v>6185756.7199999997</v>
      </c>
      <c r="Q768" s="2">
        <v>0</v>
      </c>
      <c r="R768" s="2">
        <v>0</v>
      </c>
      <c r="S768" s="2">
        <v>0</v>
      </c>
      <c r="T768" s="2">
        <v>0</v>
      </c>
      <c r="U768" s="2">
        <v>0</v>
      </c>
      <c r="V768" s="2">
        <v>0</v>
      </c>
      <c r="W768" s="2">
        <v>0</v>
      </c>
      <c r="X768" s="2">
        <v>0</v>
      </c>
      <c r="Y768" s="2">
        <v>0</v>
      </c>
      <c r="Z768" s="1">
        <v>259833.64</v>
      </c>
      <c r="AA768" s="2">
        <v>0</v>
      </c>
    </row>
    <row r="769" spans="1:27" s="75" customFormat="1" ht="39" customHeight="1">
      <c r="A769" s="158" t="s">
        <v>318</v>
      </c>
      <c r="B769" s="160"/>
      <c r="C769" s="1">
        <f t="shared" ref="C769:AA769" si="255">SUM(C770:C770)</f>
        <v>2708106.4699999997</v>
      </c>
      <c r="D769" s="1">
        <f t="shared" si="255"/>
        <v>0</v>
      </c>
      <c r="E769" s="1">
        <f t="shared" si="255"/>
        <v>0</v>
      </c>
      <c r="F769" s="1">
        <f t="shared" si="255"/>
        <v>0</v>
      </c>
      <c r="G769" s="1">
        <f t="shared" si="255"/>
        <v>0</v>
      </c>
      <c r="H769" s="1">
        <f t="shared" si="255"/>
        <v>0</v>
      </c>
      <c r="I769" s="1">
        <f t="shared" si="255"/>
        <v>0</v>
      </c>
      <c r="J769" s="1">
        <f t="shared" si="255"/>
        <v>0</v>
      </c>
      <c r="K769" s="1">
        <f t="shared" si="255"/>
        <v>0</v>
      </c>
      <c r="L769" s="1">
        <f t="shared" si="255"/>
        <v>0</v>
      </c>
      <c r="M769" s="1">
        <f t="shared" si="255"/>
        <v>0</v>
      </c>
      <c r="N769" s="1">
        <f t="shared" si="255"/>
        <v>0</v>
      </c>
      <c r="O769" s="1">
        <f t="shared" si="255"/>
        <v>285</v>
      </c>
      <c r="P769" s="1">
        <f t="shared" si="255"/>
        <v>2620467.0299999998</v>
      </c>
      <c r="Q769" s="1">
        <f t="shared" si="255"/>
        <v>0</v>
      </c>
      <c r="R769" s="1">
        <f t="shared" si="255"/>
        <v>0</v>
      </c>
      <c r="S769" s="1">
        <f t="shared" si="255"/>
        <v>0</v>
      </c>
      <c r="T769" s="1">
        <f t="shared" si="255"/>
        <v>0</v>
      </c>
      <c r="U769" s="1">
        <f t="shared" si="255"/>
        <v>0</v>
      </c>
      <c r="V769" s="1">
        <f t="shared" si="255"/>
        <v>0</v>
      </c>
      <c r="W769" s="1">
        <f t="shared" si="255"/>
        <v>0</v>
      </c>
      <c r="X769" s="1">
        <f t="shared" si="255"/>
        <v>0</v>
      </c>
      <c r="Y769" s="1">
        <f t="shared" si="255"/>
        <v>0</v>
      </c>
      <c r="Z769" s="1">
        <f t="shared" si="255"/>
        <v>87639.44</v>
      </c>
      <c r="AA769" s="1">
        <f t="shared" si="255"/>
        <v>0</v>
      </c>
    </row>
    <row r="770" spans="1:27" s="75" customFormat="1" ht="34.5" customHeight="1">
      <c r="A770" s="76">
        <v>348</v>
      </c>
      <c r="B770" s="136" t="s">
        <v>322</v>
      </c>
      <c r="C770" s="1">
        <f>D770+L770+N770+P770+R770+T770+V770+X770+Y770+Z770+AA770</f>
        <v>2708106.4699999997</v>
      </c>
      <c r="D770" s="1">
        <f>E770+F770+G770+H770+I770+J770</f>
        <v>0</v>
      </c>
      <c r="E770" s="2">
        <v>0</v>
      </c>
      <c r="F770" s="2">
        <v>0</v>
      </c>
      <c r="G770" s="2">
        <v>0</v>
      </c>
      <c r="H770" s="2">
        <v>0</v>
      </c>
      <c r="I770" s="2">
        <v>0</v>
      </c>
      <c r="J770" s="2">
        <v>0</v>
      </c>
      <c r="K770" s="2">
        <v>0</v>
      </c>
      <c r="L770" s="2">
        <v>0</v>
      </c>
      <c r="M770" s="2">
        <v>0</v>
      </c>
      <c r="N770" s="2">
        <v>0</v>
      </c>
      <c r="O770" s="3">
        <v>285</v>
      </c>
      <c r="P770" s="1">
        <v>2620467.0299999998</v>
      </c>
      <c r="Q770" s="2">
        <v>0</v>
      </c>
      <c r="R770" s="2">
        <v>0</v>
      </c>
      <c r="S770" s="2">
        <v>0</v>
      </c>
      <c r="T770" s="2">
        <v>0</v>
      </c>
      <c r="U770" s="2">
        <v>0</v>
      </c>
      <c r="V770" s="2">
        <v>0</v>
      </c>
      <c r="W770" s="2">
        <v>0</v>
      </c>
      <c r="X770" s="2">
        <v>0</v>
      </c>
      <c r="Y770" s="2">
        <v>0</v>
      </c>
      <c r="Z770" s="8">
        <v>87639.44</v>
      </c>
      <c r="AA770" s="2">
        <v>0</v>
      </c>
    </row>
    <row r="771" spans="1:27" s="75" customFormat="1" ht="30.75" customHeight="1">
      <c r="A771" s="158" t="s">
        <v>183</v>
      </c>
      <c r="B771" s="160"/>
      <c r="C771" s="1">
        <f t="shared" ref="C771:AA771" si="256">SUM(C772:C773)</f>
        <v>4148694.49</v>
      </c>
      <c r="D771" s="1">
        <f t="shared" si="256"/>
        <v>446583.86</v>
      </c>
      <c r="E771" s="1">
        <f t="shared" si="256"/>
        <v>0</v>
      </c>
      <c r="F771" s="1">
        <f t="shared" si="256"/>
        <v>0</v>
      </c>
      <c r="G771" s="1">
        <f t="shared" si="256"/>
        <v>0</v>
      </c>
      <c r="H771" s="1">
        <f t="shared" si="256"/>
        <v>0</v>
      </c>
      <c r="I771" s="1">
        <f t="shared" si="256"/>
        <v>0</v>
      </c>
      <c r="J771" s="1">
        <f t="shared" si="256"/>
        <v>446583.86</v>
      </c>
      <c r="K771" s="1">
        <f t="shared" si="256"/>
        <v>0</v>
      </c>
      <c r="L771" s="1">
        <f t="shared" si="256"/>
        <v>0</v>
      </c>
      <c r="M771" s="1">
        <f t="shared" si="256"/>
        <v>0</v>
      </c>
      <c r="N771" s="1">
        <f t="shared" si="256"/>
        <v>0</v>
      </c>
      <c r="O771" s="1">
        <f t="shared" si="256"/>
        <v>365.6</v>
      </c>
      <c r="P771" s="1">
        <f t="shared" si="256"/>
        <v>3400770.91</v>
      </c>
      <c r="Q771" s="1">
        <f t="shared" si="256"/>
        <v>0</v>
      </c>
      <c r="R771" s="1">
        <f t="shared" si="256"/>
        <v>0</v>
      </c>
      <c r="S771" s="1">
        <f t="shared" si="256"/>
        <v>0</v>
      </c>
      <c r="T771" s="1">
        <f t="shared" si="256"/>
        <v>0</v>
      </c>
      <c r="U771" s="1">
        <f t="shared" si="256"/>
        <v>0</v>
      </c>
      <c r="V771" s="1">
        <f t="shared" si="256"/>
        <v>0</v>
      </c>
      <c r="W771" s="1">
        <f t="shared" si="256"/>
        <v>0</v>
      </c>
      <c r="X771" s="1">
        <f t="shared" si="256"/>
        <v>0</v>
      </c>
      <c r="Y771" s="1">
        <f t="shared" si="256"/>
        <v>0</v>
      </c>
      <c r="Z771" s="1">
        <f t="shared" si="256"/>
        <v>301339.71999999997</v>
      </c>
      <c r="AA771" s="1">
        <f t="shared" si="256"/>
        <v>0</v>
      </c>
    </row>
    <row r="772" spans="1:27" s="75" customFormat="1" ht="39" customHeight="1">
      <c r="A772" s="76">
        <v>349</v>
      </c>
      <c r="B772" s="124" t="s">
        <v>184</v>
      </c>
      <c r="C772" s="1">
        <f>D772+L772+N772+P772+R772+T772+V772+X772+Y772+Z772+AA772</f>
        <v>481562.04</v>
      </c>
      <c r="D772" s="1">
        <f>E772+F772+H772+G772+I772+J772</f>
        <v>446583.86</v>
      </c>
      <c r="E772" s="2">
        <v>0</v>
      </c>
      <c r="F772" s="2">
        <v>0</v>
      </c>
      <c r="G772" s="2">
        <v>0</v>
      </c>
      <c r="H772" s="2">
        <v>0</v>
      </c>
      <c r="I772" s="2">
        <v>0</v>
      </c>
      <c r="J772" s="1">
        <v>446583.86</v>
      </c>
      <c r="K772" s="2">
        <v>0</v>
      </c>
      <c r="L772" s="2">
        <v>0</v>
      </c>
      <c r="M772" s="2">
        <v>0</v>
      </c>
      <c r="N772" s="2">
        <v>0</v>
      </c>
      <c r="O772" s="2">
        <v>0</v>
      </c>
      <c r="P772" s="2">
        <v>0</v>
      </c>
      <c r="Q772" s="2">
        <v>0</v>
      </c>
      <c r="R772" s="2">
        <v>0</v>
      </c>
      <c r="S772" s="2">
        <v>0</v>
      </c>
      <c r="T772" s="2">
        <v>0</v>
      </c>
      <c r="U772" s="2">
        <v>0</v>
      </c>
      <c r="V772" s="2">
        <v>0</v>
      </c>
      <c r="W772" s="2">
        <v>0</v>
      </c>
      <c r="X772" s="2">
        <v>0</v>
      </c>
      <c r="Y772" s="2">
        <v>0</v>
      </c>
      <c r="Z772" s="8">
        <v>34978.18</v>
      </c>
      <c r="AA772" s="2">
        <v>0</v>
      </c>
    </row>
    <row r="773" spans="1:27" s="75" customFormat="1" ht="27.75" customHeight="1">
      <c r="A773" s="76">
        <v>350</v>
      </c>
      <c r="B773" s="124" t="s">
        <v>185</v>
      </c>
      <c r="C773" s="1">
        <f t="shared" ref="C773" si="257">D773+L773+N773+P773+R773+T773+V773+X773+Y773+Z773+AA773</f>
        <v>3667132.45</v>
      </c>
      <c r="D773" s="1">
        <f t="shared" ref="D773" si="258">E773+F773+H773+G773+I773+J773</f>
        <v>0</v>
      </c>
      <c r="E773" s="2">
        <v>0</v>
      </c>
      <c r="F773" s="2">
        <v>0</v>
      </c>
      <c r="G773" s="2">
        <v>0</v>
      </c>
      <c r="H773" s="2">
        <v>0</v>
      </c>
      <c r="I773" s="2">
        <v>0</v>
      </c>
      <c r="J773" s="2">
        <v>0</v>
      </c>
      <c r="K773" s="2">
        <v>0</v>
      </c>
      <c r="L773" s="2">
        <v>0</v>
      </c>
      <c r="M773" s="2">
        <v>0</v>
      </c>
      <c r="N773" s="2">
        <v>0</v>
      </c>
      <c r="O773" s="5">
        <v>365.6</v>
      </c>
      <c r="P773" s="5">
        <v>3400770.91</v>
      </c>
      <c r="Q773" s="2">
        <v>0</v>
      </c>
      <c r="R773" s="2">
        <v>0</v>
      </c>
      <c r="S773" s="2">
        <v>0</v>
      </c>
      <c r="T773" s="2">
        <v>0</v>
      </c>
      <c r="U773" s="2">
        <v>0</v>
      </c>
      <c r="V773" s="2">
        <v>0</v>
      </c>
      <c r="W773" s="2">
        <v>0</v>
      </c>
      <c r="X773" s="2">
        <v>0</v>
      </c>
      <c r="Y773" s="2">
        <v>0</v>
      </c>
      <c r="Z773" s="8">
        <v>266361.53999999998</v>
      </c>
      <c r="AA773" s="2">
        <v>0</v>
      </c>
    </row>
    <row r="774" spans="1:27" s="75" customFormat="1" ht="32.25" customHeight="1">
      <c r="A774" s="165" t="s">
        <v>333</v>
      </c>
      <c r="B774" s="165"/>
      <c r="C774" s="1">
        <f>SUM(C775:C776)</f>
        <v>9664284.9000000004</v>
      </c>
      <c r="D774" s="1">
        <f t="shared" ref="D774:AA774" si="259">SUM(D775:D776)</f>
        <v>0</v>
      </c>
      <c r="E774" s="1">
        <f t="shared" si="259"/>
        <v>0</v>
      </c>
      <c r="F774" s="1">
        <f t="shared" si="259"/>
        <v>0</v>
      </c>
      <c r="G774" s="1">
        <f t="shared" si="259"/>
        <v>0</v>
      </c>
      <c r="H774" s="1">
        <f t="shared" si="259"/>
        <v>0</v>
      </c>
      <c r="I774" s="1">
        <f t="shared" si="259"/>
        <v>0</v>
      </c>
      <c r="J774" s="1">
        <f t="shared" si="259"/>
        <v>0</v>
      </c>
      <c r="K774" s="1">
        <f t="shared" si="259"/>
        <v>0</v>
      </c>
      <c r="L774" s="1">
        <f t="shared" si="259"/>
        <v>0</v>
      </c>
      <c r="M774" s="1">
        <f t="shared" si="259"/>
        <v>0</v>
      </c>
      <c r="N774" s="1">
        <f t="shared" si="259"/>
        <v>0</v>
      </c>
      <c r="O774" s="1">
        <f t="shared" si="259"/>
        <v>715</v>
      </c>
      <c r="P774" s="1">
        <f t="shared" si="259"/>
        <v>5787635.4299999997</v>
      </c>
      <c r="Q774" s="1">
        <f t="shared" si="259"/>
        <v>0</v>
      </c>
      <c r="R774" s="1">
        <f t="shared" si="259"/>
        <v>0</v>
      </c>
      <c r="S774" s="1">
        <f t="shared" si="259"/>
        <v>748.2</v>
      </c>
      <c r="T774" s="1">
        <f t="shared" si="259"/>
        <v>3231850.35</v>
      </c>
      <c r="U774" s="1">
        <f t="shared" si="259"/>
        <v>0</v>
      </c>
      <c r="V774" s="1">
        <f t="shared" si="259"/>
        <v>0</v>
      </c>
      <c r="W774" s="1">
        <f t="shared" si="259"/>
        <v>0</v>
      </c>
      <c r="X774" s="1">
        <f t="shared" si="259"/>
        <v>0</v>
      </c>
      <c r="Y774" s="1">
        <f t="shared" si="259"/>
        <v>0</v>
      </c>
      <c r="Z774" s="1">
        <f t="shared" si="259"/>
        <v>644799.12</v>
      </c>
      <c r="AA774" s="1">
        <f t="shared" si="259"/>
        <v>0</v>
      </c>
    </row>
    <row r="775" spans="1:27" s="75" customFormat="1" ht="25.5" customHeight="1">
      <c r="A775" s="220">
        <v>351</v>
      </c>
      <c r="B775" s="231" t="s">
        <v>446</v>
      </c>
      <c r="C775" s="224">
        <f>D775+L775+N775+P775+R775+T775+V775+X775+Y767+Y775+Z775+AA775</f>
        <v>6240945.4299999997</v>
      </c>
      <c r="D775" s="1">
        <f>E775+F775+G775+H775+I775+J775</f>
        <v>0</v>
      </c>
      <c r="E775" s="2">
        <v>0</v>
      </c>
      <c r="F775" s="2">
        <v>0</v>
      </c>
      <c r="G775" s="2">
        <v>0</v>
      </c>
      <c r="H775" s="2">
        <v>0</v>
      </c>
      <c r="I775" s="2">
        <v>0</v>
      </c>
      <c r="J775" s="2">
        <v>0</v>
      </c>
      <c r="K775" s="2">
        <v>0</v>
      </c>
      <c r="L775" s="2">
        <v>0</v>
      </c>
      <c r="M775" s="2">
        <v>0</v>
      </c>
      <c r="N775" s="2">
        <v>0</v>
      </c>
      <c r="O775" s="1">
        <v>715</v>
      </c>
      <c r="P775" s="1">
        <v>5787635.4299999997</v>
      </c>
      <c r="Q775" s="2">
        <v>0</v>
      </c>
      <c r="R775" s="2">
        <v>0</v>
      </c>
      <c r="S775" s="2">
        <v>0</v>
      </c>
      <c r="T775" s="2">
        <v>0</v>
      </c>
      <c r="U775" s="2">
        <v>0</v>
      </c>
      <c r="V775" s="2">
        <v>0</v>
      </c>
      <c r="W775" s="2">
        <v>0</v>
      </c>
      <c r="X775" s="2">
        <v>0</v>
      </c>
      <c r="Y775" s="2">
        <v>0</v>
      </c>
      <c r="Z775" s="1">
        <v>453310</v>
      </c>
      <c r="AA775" s="2">
        <v>0</v>
      </c>
    </row>
    <row r="776" spans="1:27" s="75" customFormat="1" ht="33" customHeight="1">
      <c r="A776" s="220">
        <v>352</v>
      </c>
      <c r="B776" s="231" t="s">
        <v>447</v>
      </c>
      <c r="C776" s="224">
        <f>D776+L776+N776+P776+R776+T776+V776+X776+Y769+Y776+Z776+AA776</f>
        <v>3423339.47</v>
      </c>
      <c r="D776" s="1">
        <f t="shared" ref="D776" si="260">E776+F776+G776+H776+I776+J776</f>
        <v>0</v>
      </c>
      <c r="E776" s="2">
        <v>0</v>
      </c>
      <c r="F776" s="2">
        <v>0</v>
      </c>
      <c r="G776" s="2">
        <v>0</v>
      </c>
      <c r="H776" s="2">
        <v>0</v>
      </c>
      <c r="I776" s="2">
        <v>0</v>
      </c>
      <c r="J776" s="2">
        <v>0</v>
      </c>
      <c r="K776" s="2">
        <v>0</v>
      </c>
      <c r="L776" s="2">
        <v>0</v>
      </c>
      <c r="M776" s="2">
        <v>0</v>
      </c>
      <c r="N776" s="2">
        <v>0</v>
      </c>
      <c r="O776" s="2">
        <v>0</v>
      </c>
      <c r="P776" s="2">
        <v>0</v>
      </c>
      <c r="Q776" s="2">
        <v>0</v>
      </c>
      <c r="R776" s="2">
        <v>0</v>
      </c>
      <c r="S776" s="1">
        <v>748.2</v>
      </c>
      <c r="T776" s="1">
        <v>3231850.35</v>
      </c>
      <c r="U776" s="2">
        <v>0</v>
      </c>
      <c r="V776" s="2">
        <v>0</v>
      </c>
      <c r="W776" s="2">
        <v>0</v>
      </c>
      <c r="X776" s="2">
        <v>0</v>
      </c>
      <c r="Y776" s="2">
        <v>0</v>
      </c>
      <c r="Z776" s="1">
        <v>191489.12</v>
      </c>
      <c r="AA776" s="2">
        <v>0</v>
      </c>
    </row>
    <row r="777" spans="1:27" ht="45.75" customHeight="1">
      <c r="A777" s="193" t="s">
        <v>891</v>
      </c>
      <c r="B777" s="193"/>
      <c r="C777" s="193"/>
      <c r="D777" s="193"/>
      <c r="E777" s="193"/>
      <c r="F777" s="193"/>
      <c r="G777" s="193"/>
      <c r="H777" s="193"/>
      <c r="I777" s="193"/>
      <c r="J777" s="193"/>
      <c r="K777" s="193"/>
      <c r="L777" s="193"/>
      <c r="M777" s="193"/>
      <c r="N777" s="193"/>
      <c r="O777" s="193"/>
      <c r="P777" s="193"/>
      <c r="Q777" s="193"/>
      <c r="R777" s="193"/>
      <c r="S777" s="193"/>
      <c r="T777" s="193"/>
      <c r="U777" s="193"/>
      <c r="V777" s="193"/>
      <c r="W777" s="193"/>
      <c r="X777" s="193"/>
      <c r="Y777" s="193"/>
      <c r="Z777" s="193"/>
      <c r="AA777" s="193"/>
    </row>
    <row r="778" spans="1:27" ht="40.5" customHeight="1">
      <c r="A778" s="193" t="s">
        <v>892</v>
      </c>
      <c r="B778" s="193"/>
      <c r="C778" s="193"/>
      <c r="D778" s="193"/>
      <c r="E778" s="193"/>
      <c r="F778" s="193"/>
      <c r="G778" s="193"/>
      <c r="H778" s="193"/>
      <c r="I778" s="193"/>
      <c r="J778" s="193"/>
      <c r="K778" s="193"/>
      <c r="L778" s="193"/>
      <c r="M778" s="193"/>
      <c r="N778" s="193"/>
      <c r="O778" s="193"/>
      <c r="P778" s="193"/>
      <c r="Q778" s="193"/>
      <c r="R778" s="193"/>
      <c r="S778" s="193"/>
      <c r="T778" s="193"/>
      <c r="U778" s="193"/>
      <c r="V778" s="193"/>
      <c r="W778" s="193"/>
      <c r="X778" s="193"/>
      <c r="Y778" s="193"/>
      <c r="Z778" s="193"/>
      <c r="AA778" s="193"/>
    </row>
    <row r="779" spans="1:27" ht="43.5" customHeight="1">
      <c r="A779" s="193" t="s">
        <v>893</v>
      </c>
      <c r="B779" s="193"/>
      <c r="C779" s="193"/>
      <c r="D779" s="193"/>
      <c r="E779" s="193"/>
      <c r="F779" s="193"/>
      <c r="G779" s="193"/>
      <c r="H779" s="193"/>
      <c r="I779" s="193"/>
      <c r="J779" s="193"/>
      <c r="K779" s="193"/>
      <c r="L779" s="193"/>
      <c r="M779" s="193"/>
      <c r="N779" s="193"/>
      <c r="O779" s="193"/>
      <c r="P779" s="193"/>
      <c r="Q779" s="193"/>
      <c r="R779" s="193"/>
      <c r="S779" s="193"/>
      <c r="T779" s="193"/>
      <c r="U779" s="193"/>
      <c r="V779" s="193"/>
      <c r="W779" s="193"/>
      <c r="X779" s="193"/>
      <c r="Y779" s="193"/>
      <c r="Z779" s="193"/>
      <c r="AA779" s="193"/>
    </row>
    <row r="780" spans="1:27" ht="73.5" customHeight="1">
      <c r="A780" s="193" t="s">
        <v>894</v>
      </c>
      <c r="B780" s="193"/>
      <c r="C780" s="193"/>
      <c r="D780" s="193"/>
      <c r="E780" s="193"/>
      <c r="F780" s="193"/>
      <c r="G780" s="193"/>
      <c r="H780" s="193"/>
      <c r="I780" s="193"/>
      <c r="J780" s="193"/>
      <c r="K780" s="193"/>
      <c r="L780" s="193"/>
      <c r="M780" s="193"/>
      <c r="N780" s="193"/>
      <c r="O780" s="193"/>
      <c r="P780" s="193"/>
      <c r="Q780" s="193"/>
      <c r="R780" s="193"/>
      <c r="S780" s="193"/>
      <c r="T780" s="193"/>
      <c r="U780" s="193"/>
      <c r="V780" s="193"/>
      <c r="W780" s="193"/>
      <c r="X780" s="193"/>
      <c r="Y780" s="193"/>
      <c r="Z780" s="193"/>
      <c r="AA780" s="193"/>
    </row>
    <row r="781" spans="1:27" ht="78.75" customHeight="1">
      <c r="A781" s="193" t="s">
        <v>868</v>
      </c>
      <c r="B781" s="193"/>
      <c r="C781" s="193"/>
      <c r="D781" s="193"/>
      <c r="E781" s="193"/>
      <c r="F781" s="193"/>
      <c r="G781" s="193"/>
      <c r="H781" s="193"/>
      <c r="I781" s="193"/>
      <c r="J781" s="193"/>
      <c r="K781" s="193"/>
      <c r="L781" s="193"/>
      <c r="M781" s="193"/>
      <c r="N781" s="193"/>
      <c r="O781" s="193"/>
      <c r="P781" s="193"/>
      <c r="Q781" s="193"/>
      <c r="R781" s="193"/>
      <c r="S781" s="193"/>
      <c r="T781" s="193"/>
      <c r="U781" s="193"/>
      <c r="V781" s="193"/>
      <c r="W781" s="193"/>
      <c r="X781" s="193"/>
      <c r="Y781" s="193"/>
      <c r="Z781" s="193"/>
      <c r="AA781" s="193"/>
    </row>
    <row r="782" spans="1:27" ht="75.75" customHeight="1">
      <c r="A782" s="193" t="s">
        <v>869</v>
      </c>
      <c r="B782" s="193"/>
      <c r="C782" s="193"/>
      <c r="D782" s="193"/>
      <c r="E782" s="193"/>
      <c r="F782" s="193"/>
      <c r="G782" s="193"/>
      <c r="H782" s="193"/>
      <c r="I782" s="193"/>
      <c r="J782" s="193"/>
      <c r="K782" s="193"/>
      <c r="L782" s="193"/>
      <c r="M782" s="193"/>
      <c r="N782" s="193"/>
      <c r="O782" s="193"/>
      <c r="P782" s="193"/>
      <c r="Q782" s="193"/>
      <c r="R782" s="193"/>
      <c r="S782" s="193"/>
      <c r="T782" s="193"/>
      <c r="U782" s="193"/>
      <c r="V782" s="193"/>
      <c r="W782" s="193"/>
      <c r="X782" s="193"/>
      <c r="Y782" s="193"/>
      <c r="Z782" s="193"/>
      <c r="AA782" s="193"/>
    </row>
  </sheetData>
  <mergeCells count="144">
    <mergeCell ref="A782:AA782"/>
    <mergeCell ref="A781:AA781"/>
    <mergeCell ref="A255:B255"/>
    <mergeCell ref="A371:B371"/>
    <mergeCell ref="A741:B741"/>
    <mergeCell ref="A279:B279"/>
    <mergeCell ref="A86:B86"/>
    <mergeCell ref="A26:B26"/>
    <mergeCell ref="A548:B548"/>
    <mergeCell ref="A78:B78"/>
    <mergeCell ref="A221:B221"/>
    <mergeCell ref="A330:B330"/>
    <mergeCell ref="A213:B213"/>
    <mergeCell ref="A325:B325"/>
    <mergeCell ref="A134:B134"/>
    <mergeCell ref="A253:B253"/>
    <mergeCell ref="A365:B365"/>
    <mergeCell ref="A355:B355"/>
    <mergeCell ref="A303:B303"/>
    <mergeCell ref="A114:B114"/>
    <mergeCell ref="A249:B249"/>
    <mergeCell ref="A363:B363"/>
    <mergeCell ref="A215:B215"/>
    <mergeCell ref="A195:B195"/>
    <mergeCell ref="A245:B245"/>
    <mergeCell ref="A1:AA1"/>
    <mergeCell ref="A82:B82"/>
    <mergeCell ref="D2:AA2"/>
    <mergeCell ref="AA3:AA4"/>
    <mergeCell ref="A7:AA7"/>
    <mergeCell ref="A31:B31"/>
    <mergeCell ref="Y3:Y4"/>
    <mergeCell ref="K3:L4"/>
    <mergeCell ref="Z3:Z4"/>
    <mergeCell ref="A8:B8"/>
    <mergeCell ref="A68:B68"/>
    <mergeCell ref="W3:X4"/>
    <mergeCell ref="C2:C4"/>
    <mergeCell ref="D3:J3"/>
    <mergeCell ref="S3:V3"/>
    <mergeCell ref="S4:T4"/>
    <mergeCell ref="A2:A5"/>
    <mergeCell ref="A50:B50"/>
    <mergeCell ref="A64:B64"/>
    <mergeCell ref="A40:B40"/>
    <mergeCell ref="A52:B52"/>
    <mergeCell ref="O3:P4"/>
    <mergeCell ref="B2:B5"/>
    <mergeCell ref="M3:N4"/>
    <mergeCell ref="Q3:R4"/>
    <mergeCell ref="U4:V4"/>
    <mergeCell ref="A160:B160"/>
    <mergeCell ref="A23:B23"/>
    <mergeCell ref="A43:B43"/>
    <mergeCell ref="A28:B28"/>
    <mergeCell ref="A9:B9"/>
    <mergeCell ref="A88:B88"/>
    <mergeCell ref="A110:B110"/>
    <mergeCell ref="A62:B62"/>
    <mergeCell ref="A155:B155"/>
    <mergeCell ref="A211:B211"/>
    <mergeCell ref="A163:B163"/>
    <mergeCell ref="A117:B117"/>
    <mergeCell ref="A223:B223"/>
    <mergeCell ref="A153:B153"/>
    <mergeCell ref="A177:AA177"/>
    <mergeCell ref="A202:B202"/>
    <mergeCell ref="A178:B178"/>
    <mergeCell ref="A90:B90"/>
    <mergeCell ref="A191:B191"/>
    <mergeCell ref="A200:B200"/>
    <mergeCell ref="A193:B193"/>
    <mergeCell ref="A119:B119"/>
    <mergeCell ref="A273:B273"/>
    <mergeCell ref="A167:B167"/>
    <mergeCell ref="A204:B204"/>
    <mergeCell ref="A179:B179"/>
    <mergeCell ref="A175:B175"/>
    <mergeCell ref="A141:B141"/>
    <mergeCell ref="A780:AA780"/>
    <mergeCell ref="A391:B391"/>
    <mergeCell ref="A777:AA777"/>
    <mergeCell ref="A778:AA778"/>
    <mergeCell ref="A779:AA779"/>
    <mergeCell ref="A636:B636"/>
    <mergeCell ref="A765:B765"/>
    <mergeCell ref="A622:B622"/>
    <mergeCell ref="A661:B661"/>
    <mergeCell ref="A739:B739"/>
    <mergeCell ref="A767:B767"/>
    <mergeCell ref="A671:B671"/>
    <mergeCell ref="A763:B763"/>
    <mergeCell ref="A699:B699"/>
    <mergeCell ref="A697:B697"/>
    <mergeCell ref="A771:B771"/>
    <mergeCell ref="A557:B557"/>
    <mergeCell ref="A678:B678"/>
    <mergeCell ref="A737:B737"/>
    <mergeCell ref="A734:B734"/>
    <mergeCell ref="A552:B552"/>
    <mergeCell ref="A715:B715"/>
    <mergeCell ref="A769:B769"/>
    <mergeCell ref="A727:B727"/>
    <mergeCell ref="A281:B281"/>
    <mergeCell ref="A385:B385"/>
    <mergeCell ref="A761:B761"/>
    <mergeCell ref="A615:B615"/>
    <mergeCell ref="A305:B305"/>
    <mergeCell ref="A309:B309"/>
    <mergeCell ref="A612:B612"/>
    <mergeCell ref="A353:B353"/>
    <mergeCell ref="A537:B537"/>
    <mergeCell ref="A332:B332"/>
    <mergeCell ref="A579:B579"/>
    <mergeCell ref="A620:B620"/>
    <mergeCell ref="A390:AA390"/>
    <mergeCell ref="A315:B315"/>
    <mergeCell ref="A591:B591"/>
    <mergeCell ref="A369:B369"/>
    <mergeCell ref="A380:B380"/>
    <mergeCell ref="A774:B774"/>
    <mergeCell ref="A228:B228"/>
    <mergeCell ref="A268:B268"/>
    <mergeCell ref="A563:B563"/>
    <mergeCell ref="A382:B382"/>
    <mergeCell ref="A631:B631"/>
    <mergeCell ref="A286:B286"/>
    <mergeCell ref="A301:B301"/>
    <mergeCell ref="A251:B251"/>
    <mergeCell ref="A232:B232"/>
    <mergeCell ref="A336:B336"/>
    <mergeCell ref="A270:B270"/>
    <mergeCell ref="A287:B287"/>
    <mergeCell ref="A296:B296"/>
    <mergeCell ref="A528:B528"/>
    <mergeCell ref="A321:B321"/>
    <mergeCell ref="A327:B327"/>
    <mergeCell ref="A388:B388"/>
    <mergeCell ref="A230:B230"/>
    <mergeCell ref="A266:B266"/>
    <mergeCell ref="A358:B358"/>
    <mergeCell ref="A323:B323"/>
    <mergeCell ref="A285:AA285"/>
    <mergeCell ref="A392:B392"/>
  </mergeCells>
  <printOptions horizontalCentered="1"/>
  <pageMargins left="0.39370078740157483" right="0.39370078740157483" top="1.1811023622047245" bottom="0.78740157480314965" header="0.59055118110236227" footer="0.51181102362204722"/>
  <pageSetup paperSize="9" scale="23" firstPageNumber="20" orientation="landscape" useFirstPageNumber="1" horizontalDpi="200" verticalDpi="200" r:id="rId1"/>
  <headerFooter>
    <oddHeader>&amp;C&amp;"Times New Roman,обычный"&amp;24&amp;K000000&amp;P</oddHeader>
  </headerFooter>
  <rowBreaks count="4" manualBreakCount="4">
    <brk id="126" max="26" man="1"/>
    <brk id="292" max="26" man="1"/>
    <brk id="390" max="26" man="1"/>
    <brk id="480" max="26" man="1"/>
  </rowBreaks>
  <colBreaks count="2" manualBreakCount="2">
    <brk id="27" max="655" man="1"/>
    <brk id="32" max="26" man="1"/>
  </colBreaks>
  <ignoredErrors>
    <ignoredError sqref="C296:D296 C215 C327:D327 C612:D612 D110 C245:D245 C358:D358 C699:D699 C62 C321:D322 C323 C615:D615 C622 D305 C369 C767:D767 C163 C117:D118 C266:D267 C380 C763:C765 D764:D765 C211:D211 C153:D153 D87:D88 C228:D230 C661:D661 I661:J661 Z661 C23:D23 C191:C193 C671:D671 W671 Z671 J671 C537:D537 X82 D82 D223 D636 I636 W636 Z636 D332 C771 C251:C252 C715:D715 C114:D114 C249 C363:D364 C175:D175 D119 C727:D727 C301:D303 C552:D552 D90 D232 C345 C350 D336 C678:D678 C388:D388 C26:D26 C548:D548 D78 D221 D330 D631 C64:D64 C212:C213 C325 C620:D620 D213 C86:D86 C87 D365 D734 D353 C355:D355 C52 C203:D203 C591 C155:D155 C270:D270 C382 C769:D769 C739:C741 C28:D28 C43:D43 C50:D50 C201:D202 C579:D579 C171:C172 D281 C371 D385 C279:D279 C697:D697 Z358 C160:D160 C273:D273" formula="1"/>
    <ignoredError sqref="D614 D63 D324 D616:D619 D164:D166 D32:D39 D196:D197 D198:D199 D561:D562 D381 D176 D389 D738 D65:D67 D214 D621 E358:F358 G358:N358 U358:Y358 E591 G591:T591 U591:Y591 K179 M179 Q358:T358 AA358 K270:M270" formulaRange="1"/>
    <ignoredError sqref="D212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1"/>
  <sheetViews>
    <sheetView tabSelected="1" view="pageBreakPreview" topLeftCell="A106" zoomScaleSheetLayoutView="100" workbookViewId="0">
      <selection activeCell="F2" sqref="A2:F128"/>
    </sheetView>
  </sheetViews>
  <sheetFormatPr defaultColWidth="8.85546875" defaultRowHeight="15"/>
  <cols>
    <col min="1" max="1" width="5.7109375" style="53" customWidth="1"/>
    <col min="2" max="2" width="60.5703125" style="46" customWidth="1"/>
    <col min="3" max="3" width="19" style="54" bestFit="1" customWidth="1"/>
    <col min="4" max="4" width="23.7109375" style="55" bestFit="1" customWidth="1"/>
    <col min="5" max="5" width="18.7109375" style="56" customWidth="1"/>
    <col min="6" max="6" width="29.5703125" style="46" customWidth="1"/>
    <col min="7" max="16384" width="8.85546875" style="46"/>
  </cols>
  <sheetData>
    <row r="1" spans="1:11" ht="39" customHeight="1">
      <c r="A1" s="214" t="s">
        <v>27</v>
      </c>
      <c r="B1" s="214"/>
      <c r="C1" s="214"/>
      <c r="D1" s="214"/>
      <c r="E1" s="214"/>
      <c r="F1" s="214"/>
    </row>
    <row r="2" spans="1:11" ht="62.25" customHeight="1">
      <c r="A2" s="215" t="s">
        <v>28</v>
      </c>
      <c r="B2" s="215" t="s">
        <v>330</v>
      </c>
      <c r="C2" s="216" t="s">
        <v>331</v>
      </c>
      <c r="D2" s="217" t="s">
        <v>33</v>
      </c>
      <c r="E2" s="218" t="s">
        <v>332</v>
      </c>
      <c r="F2" s="215" t="s">
        <v>21</v>
      </c>
    </row>
    <row r="3" spans="1:11" ht="1.1499999999999999" customHeight="1">
      <c r="A3" s="215"/>
      <c r="B3" s="215"/>
      <c r="C3" s="216"/>
      <c r="D3" s="217"/>
      <c r="E3" s="218"/>
      <c r="F3" s="215"/>
    </row>
    <row r="4" spans="1:11">
      <c r="A4" s="215"/>
      <c r="B4" s="215"/>
      <c r="C4" s="126" t="s">
        <v>2</v>
      </c>
      <c r="D4" s="38" t="s">
        <v>18</v>
      </c>
      <c r="E4" s="39" t="s">
        <v>4</v>
      </c>
      <c r="F4" s="40" t="s">
        <v>1</v>
      </c>
    </row>
    <row r="5" spans="1:11" ht="12.75" customHeight="1">
      <c r="A5" s="41">
        <v>1</v>
      </c>
      <c r="B5" s="41">
        <v>2</v>
      </c>
      <c r="C5" s="41">
        <v>3</v>
      </c>
      <c r="D5" s="42">
        <v>4</v>
      </c>
      <c r="E5" s="43">
        <v>5</v>
      </c>
      <c r="F5" s="41">
        <v>6</v>
      </c>
    </row>
    <row r="6" spans="1:11" ht="15" customHeight="1">
      <c r="A6" s="212" t="s">
        <v>328</v>
      </c>
      <c r="B6" s="212"/>
      <c r="C6" s="212"/>
      <c r="D6" s="212"/>
      <c r="E6" s="212"/>
      <c r="F6" s="212"/>
      <c r="K6" s="46" t="s">
        <v>69</v>
      </c>
    </row>
    <row r="7" spans="1:11" ht="15" customHeight="1">
      <c r="A7" s="125"/>
      <c r="B7" s="44" t="s">
        <v>328</v>
      </c>
      <c r="C7" s="48">
        <f>C9+C40+C68+C95</f>
        <v>1347933.1199999996</v>
      </c>
      <c r="D7" s="49">
        <f>D9+D40+D68+D95</f>
        <v>47998</v>
      </c>
      <c r="E7" s="49">
        <f>E9+E40+E68+E95</f>
        <v>649</v>
      </c>
      <c r="F7" s="48">
        <f>F9+F40+F68+F95</f>
        <v>5263897987.2675724</v>
      </c>
    </row>
    <row r="8" spans="1:11" s="47" customFormat="1" ht="16.899999999999999" customHeight="1">
      <c r="A8" s="213" t="s">
        <v>641</v>
      </c>
      <c r="B8" s="213"/>
      <c r="C8" s="213"/>
      <c r="D8" s="213"/>
      <c r="E8" s="213"/>
      <c r="F8" s="213"/>
    </row>
    <row r="9" spans="1:11" s="47" customFormat="1" ht="16.899999999999999" customHeight="1">
      <c r="A9" s="125"/>
      <c r="B9" s="44" t="s">
        <v>328</v>
      </c>
      <c r="C9" s="48">
        <f>SUM(C10:C38)</f>
        <v>277590.73999999993</v>
      </c>
      <c r="D9" s="49">
        <f t="shared" ref="D9:F9" si="0">SUM(D10:D38)</f>
        <v>10115</v>
      </c>
      <c r="E9" s="49">
        <f t="shared" si="0"/>
        <v>139</v>
      </c>
      <c r="F9" s="48">
        <f t="shared" si="0"/>
        <v>1176999323</v>
      </c>
    </row>
    <row r="10" spans="1:11" s="47" customFormat="1" ht="15" customHeight="1">
      <c r="A10" s="125">
        <v>1</v>
      </c>
      <c r="B10" s="44" t="s">
        <v>475</v>
      </c>
      <c r="C10" s="48">
        <f>'часть 1'!G17</f>
        <v>53734.52</v>
      </c>
      <c r="D10" s="45">
        <f>'часть 1'!J17</f>
        <v>1959</v>
      </c>
      <c r="E10" s="45">
        <v>13</v>
      </c>
      <c r="F10" s="48">
        <f>'часть 1'!K17</f>
        <v>261388585.46000001</v>
      </c>
    </row>
    <row r="11" spans="1:11" s="47" customFormat="1" ht="15" customHeight="1">
      <c r="A11" s="125">
        <v>2</v>
      </c>
      <c r="B11" s="44" t="s">
        <v>153</v>
      </c>
      <c r="C11" s="48">
        <f>'часть 1'!G31</f>
        <v>1901.3000000000002</v>
      </c>
      <c r="D11" s="45">
        <f>'часть 1'!J31</f>
        <v>87</v>
      </c>
      <c r="E11" s="45">
        <v>2</v>
      </c>
      <c r="F11" s="48">
        <f>'часть 1'!K31</f>
        <v>18273600.539999999</v>
      </c>
    </row>
    <row r="12" spans="1:11" s="47" customFormat="1" ht="15" customHeight="1">
      <c r="A12" s="125">
        <v>3</v>
      </c>
      <c r="B12" s="44" t="s">
        <v>265</v>
      </c>
      <c r="C12" s="48">
        <f>'часть 1'!G34</f>
        <v>2697.2</v>
      </c>
      <c r="D12" s="45">
        <f>'часть 1'!J34</f>
        <v>32</v>
      </c>
      <c r="E12" s="45">
        <v>1</v>
      </c>
      <c r="F12" s="48">
        <f>'часть 1'!K34</f>
        <v>2741200.12</v>
      </c>
    </row>
    <row r="13" spans="1:11" s="47" customFormat="1" ht="16.899999999999999" customHeight="1">
      <c r="A13" s="125">
        <v>4</v>
      </c>
      <c r="B13" s="44" t="s">
        <v>222</v>
      </c>
      <c r="C13" s="48">
        <f>'часть 1'!G36</f>
        <v>3911.7000000000003</v>
      </c>
      <c r="D13" s="45">
        <f>'часть 1'!J36</f>
        <v>95</v>
      </c>
      <c r="E13" s="45">
        <v>2</v>
      </c>
      <c r="F13" s="48">
        <f>'часть 1'!K36</f>
        <v>21463795.240000002</v>
      </c>
    </row>
    <row r="14" spans="1:11" s="47" customFormat="1" ht="16.899999999999999" customHeight="1">
      <c r="A14" s="125">
        <v>5</v>
      </c>
      <c r="B14" s="44" t="s">
        <v>130</v>
      </c>
      <c r="C14" s="48">
        <f>'часть 1'!G39</f>
        <v>14869.8</v>
      </c>
      <c r="D14" s="45">
        <f>'часть 1'!J39</f>
        <v>567</v>
      </c>
      <c r="E14" s="45">
        <v>8</v>
      </c>
      <c r="F14" s="48">
        <f>'часть 1'!K39</f>
        <v>81318256.370000005</v>
      </c>
    </row>
    <row r="15" spans="1:11" s="47" customFormat="1" ht="16.899999999999999" customHeight="1">
      <c r="A15" s="125">
        <v>6</v>
      </c>
      <c r="B15" s="44" t="s">
        <v>226</v>
      </c>
      <c r="C15" s="48">
        <f>'часть 1'!G48</f>
        <v>1468.4</v>
      </c>
      <c r="D15" s="45">
        <f>'часть 1'!J48</f>
        <v>49</v>
      </c>
      <c r="E15" s="45">
        <v>2</v>
      </c>
      <c r="F15" s="48">
        <f>'часть 1'!K48</f>
        <v>862270.26</v>
      </c>
    </row>
    <row r="16" spans="1:11" s="47" customFormat="1" ht="16.899999999999999" customHeight="1">
      <c r="A16" s="125">
        <v>7</v>
      </c>
      <c r="B16" s="44" t="s">
        <v>73</v>
      </c>
      <c r="C16" s="48">
        <f>'часть 1'!G51</f>
        <v>7884.39</v>
      </c>
      <c r="D16" s="45">
        <f>'часть 1'!J51</f>
        <v>251</v>
      </c>
      <c r="E16" s="45">
        <v>6</v>
      </c>
      <c r="F16" s="48">
        <f>'часть 1'!K51</f>
        <v>43525203.68</v>
      </c>
    </row>
    <row r="17" spans="1:6" s="47" customFormat="1" ht="16.899999999999999" customHeight="1">
      <c r="A17" s="125">
        <v>8</v>
      </c>
      <c r="B17" s="50" t="s">
        <v>142</v>
      </c>
      <c r="C17" s="48">
        <f>'часть 1'!G58</f>
        <v>3175.1</v>
      </c>
      <c r="D17" s="45">
        <f>'часть 1'!J58</f>
        <v>60</v>
      </c>
      <c r="E17" s="45">
        <v>1</v>
      </c>
      <c r="F17" s="48">
        <f>'часть 1'!K58</f>
        <v>11552276.210000001</v>
      </c>
    </row>
    <row r="18" spans="1:6" s="47" customFormat="1" ht="16.899999999999999" customHeight="1">
      <c r="A18" s="125">
        <v>9</v>
      </c>
      <c r="B18" s="44" t="s">
        <v>284</v>
      </c>
      <c r="C18" s="48">
        <f>'часть 1'!G60</f>
        <v>7308.2999999999993</v>
      </c>
      <c r="D18" s="45">
        <f>'часть 1'!J60</f>
        <v>279</v>
      </c>
      <c r="E18" s="45">
        <v>9</v>
      </c>
      <c r="F18" s="48">
        <f>'часть 1'!K60</f>
        <v>48607867.289999999</v>
      </c>
    </row>
    <row r="19" spans="1:6" s="47" customFormat="1" ht="17.25" customHeight="1">
      <c r="A19" s="125">
        <v>10</v>
      </c>
      <c r="B19" s="50" t="s">
        <v>116</v>
      </c>
      <c r="C19" s="48">
        <f>'часть 1'!G70</f>
        <v>572</v>
      </c>
      <c r="D19" s="45">
        <f>'часть 1'!J70</f>
        <v>16</v>
      </c>
      <c r="E19" s="45">
        <v>1</v>
      </c>
      <c r="F19" s="48">
        <f>'часть 1'!K70</f>
        <v>7436289.3399999999</v>
      </c>
    </row>
    <row r="20" spans="1:6" s="47" customFormat="1" ht="12.75">
      <c r="A20" s="125">
        <v>11</v>
      </c>
      <c r="B20" s="50" t="s">
        <v>271</v>
      </c>
      <c r="C20" s="48">
        <f>'часть 1'!G72</f>
        <v>1070.8</v>
      </c>
      <c r="D20" s="45">
        <f>'часть 1'!J72</f>
        <v>53</v>
      </c>
      <c r="E20" s="45">
        <v>3</v>
      </c>
      <c r="F20" s="48">
        <f>'часть 1'!K72</f>
        <v>12095194.77</v>
      </c>
    </row>
    <row r="21" spans="1:6" s="47" customFormat="1" ht="12.75">
      <c r="A21" s="125">
        <v>12</v>
      </c>
      <c r="B21" s="44" t="s">
        <v>76</v>
      </c>
      <c r="C21" s="48">
        <f>'часть 1'!G76</f>
        <v>7805.7</v>
      </c>
      <c r="D21" s="49">
        <f>'часть 1'!J76</f>
        <v>359</v>
      </c>
      <c r="E21" s="49">
        <v>9</v>
      </c>
      <c r="F21" s="48">
        <f>'часть 1'!K76</f>
        <v>54423965.020000003</v>
      </c>
    </row>
    <row r="22" spans="1:6" s="47" customFormat="1" ht="12.75">
      <c r="A22" s="125">
        <v>13</v>
      </c>
      <c r="B22" s="50" t="s">
        <v>270</v>
      </c>
      <c r="C22" s="48">
        <f>'часть 1'!G86</f>
        <v>14472.2</v>
      </c>
      <c r="D22" s="45">
        <f>'часть 1'!J86</f>
        <v>477</v>
      </c>
      <c r="E22" s="45">
        <v>3</v>
      </c>
      <c r="F22" s="48">
        <f>'часть 1'!K86</f>
        <v>47276019.999999993</v>
      </c>
    </row>
    <row r="23" spans="1:6" s="47" customFormat="1" ht="12.75">
      <c r="A23" s="125">
        <v>14</v>
      </c>
      <c r="B23" s="50" t="s">
        <v>161</v>
      </c>
      <c r="C23" s="48">
        <f>'часть 1'!G90</f>
        <v>1620.1799999999998</v>
      </c>
      <c r="D23" s="45">
        <f>'часть 1'!J90</f>
        <v>42</v>
      </c>
      <c r="E23" s="45">
        <v>3</v>
      </c>
      <c r="F23" s="48">
        <f>'часть 1'!K90</f>
        <v>18237452.509999998</v>
      </c>
    </row>
    <row r="24" spans="1:6" s="47" customFormat="1" ht="12.75">
      <c r="A24" s="125">
        <v>15</v>
      </c>
      <c r="B24" s="50" t="s">
        <v>48</v>
      </c>
      <c r="C24" s="48">
        <f>'часть 1'!G94</f>
        <v>1233.9000000000001</v>
      </c>
      <c r="D24" s="45">
        <f>'часть 1'!J94</f>
        <v>53</v>
      </c>
      <c r="E24" s="45">
        <v>1</v>
      </c>
      <c r="F24" s="48">
        <f>'часть 1'!K94</f>
        <v>1560367.15</v>
      </c>
    </row>
    <row r="25" spans="1:6" s="47" customFormat="1" ht="12.75">
      <c r="A25" s="125">
        <v>16</v>
      </c>
      <c r="B25" s="50" t="s">
        <v>143</v>
      </c>
      <c r="C25" s="48">
        <f>'часть 1'!G96</f>
        <v>509.5</v>
      </c>
      <c r="D25" s="49">
        <f>'часть 1'!J96</f>
        <v>29</v>
      </c>
      <c r="E25" s="49">
        <v>1</v>
      </c>
      <c r="F25" s="48">
        <f>'часть 1'!K96</f>
        <v>6597952.9500000002</v>
      </c>
    </row>
    <row r="26" spans="1:6" s="47" customFormat="1" ht="12.75">
      <c r="A26" s="125">
        <v>17</v>
      </c>
      <c r="B26" s="50" t="s">
        <v>233</v>
      </c>
      <c r="C26" s="48">
        <f>'часть 1'!G98</f>
        <v>68934.600000000006</v>
      </c>
      <c r="D26" s="45">
        <f>'часть 1'!J98</f>
        <v>2683</v>
      </c>
      <c r="E26" s="45">
        <v>19</v>
      </c>
      <c r="F26" s="48">
        <f>'часть 1'!K98</f>
        <v>242523995.75</v>
      </c>
    </row>
    <row r="27" spans="1:6" s="47" customFormat="1" ht="12.75">
      <c r="A27" s="125">
        <v>18</v>
      </c>
      <c r="B27" s="50" t="s">
        <v>97</v>
      </c>
      <c r="C27" s="48">
        <f>'часть 1'!G118</f>
        <v>4142.2</v>
      </c>
      <c r="D27" s="45">
        <f>'часть 1'!J118</f>
        <v>140</v>
      </c>
      <c r="E27" s="45">
        <v>3</v>
      </c>
      <c r="F27" s="48">
        <f>'часть 1'!K118</f>
        <v>16733306.42</v>
      </c>
    </row>
    <row r="28" spans="1:6" s="47" customFormat="1" ht="12.75">
      <c r="A28" s="125">
        <v>19</v>
      </c>
      <c r="B28" s="50" t="s">
        <v>200</v>
      </c>
      <c r="C28" s="48">
        <f>'часть 1'!G122</f>
        <v>952.40000000000009</v>
      </c>
      <c r="D28" s="45">
        <f>'часть 1'!J122</f>
        <v>32</v>
      </c>
      <c r="E28" s="45">
        <v>2</v>
      </c>
      <c r="F28" s="48">
        <f>'часть 1'!K122</f>
        <v>12212351.4</v>
      </c>
    </row>
    <row r="29" spans="1:6" s="47" customFormat="1" ht="12.75">
      <c r="A29" s="125">
        <v>20</v>
      </c>
      <c r="B29" s="50" t="s">
        <v>128</v>
      </c>
      <c r="C29" s="48">
        <f>'часть 1'!G125</f>
        <v>619.70000000000005</v>
      </c>
      <c r="D29" s="45">
        <f>'часть 1'!J125</f>
        <v>19</v>
      </c>
      <c r="E29" s="45">
        <v>1</v>
      </c>
      <c r="F29" s="48">
        <f>'часть 1'!K125</f>
        <v>3248017.59</v>
      </c>
    </row>
    <row r="30" spans="1:6" s="47" customFormat="1" ht="12.75">
      <c r="A30" s="125">
        <v>21</v>
      </c>
      <c r="B30" s="50" t="s">
        <v>204</v>
      </c>
      <c r="C30" s="48">
        <f>'часть 1'!G176</f>
        <v>24739.18</v>
      </c>
      <c r="D30" s="45">
        <f>'часть 1'!J176</f>
        <v>777</v>
      </c>
      <c r="E30" s="45">
        <v>14</v>
      </c>
      <c r="F30" s="48">
        <f>'часть 1'!K176</f>
        <v>8821430</v>
      </c>
    </row>
    <row r="31" spans="1:6" s="47" customFormat="1" ht="12.75">
      <c r="A31" s="125">
        <v>22</v>
      </c>
      <c r="B31" s="50" t="s">
        <v>280</v>
      </c>
      <c r="C31" s="48">
        <f>'часть 1'!G127</f>
        <v>9089.9</v>
      </c>
      <c r="D31" s="45">
        <f>'часть 1'!J127</f>
        <v>330</v>
      </c>
      <c r="E31" s="45">
        <v>6</v>
      </c>
      <c r="F31" s="48">
        <f>'часть 1'!K127</f>
        <v>41279093.700000003</v>
      </c>
    </row>
    <row r="32" spans="1:6" s="47" customFormat="1" ht="12.75">
      <c r="A32" s="125">
        <v>23</v>
      </c>
      <c r="B32" s="50" t="s">
        <v>326</v>
      </c>
      <c r="C32" s="48">
        <f>'часть 1'!G134</f>
        <v>10889.57</v>
      </c>
      <c r="D32" s="49">
        <f>'часть 1'!J134</f>
        <v>401</v>
      </c>
      <c r="E32" s="49">
        <v>11</v>
      </c>
      <c r="F32" s="48">
        <f>'часть 1'!K134</f>
        <v>63589890.280000001</v>
      </c>
    </row>
    <row r="33" spans="1:6" s="47" customFormat="1" ht="12.75">
      <c r="A33" s="125">
        <v>24</v>
      </c>
      <c r="B33" s="50" t="s">
        <v>141</v>
      </c>
      <c r="C33" s="48">
        <f>'часть 1'!G146</f>
        <v>574.29999999999995</v>
      </c>
      <c r="D33" s="45">
        <f>'часть 1'!J146</f>
        <v>21</v>
      </c>
      <c r="E33" s="45">
        <v>1</v>
      </c>
      <c r="F33" s="48">
        <f>'часть 1'!K146</f>
        <v>7278583.8799999999</v>
      </c>
    </row>
    <row r="34" spans="1:6" s="47" customFormat="1" ht="12.75">
      <c r="A34" s="125">
        <v>25</v>
      </c>
      <c r="B34" s="51" t="s">
        <v>318</v>
      </c>
      <c r="C34" s="48">
        <f>'часть 1'!G148</f>
        <v>4364.6000000000004</v>
      </c>
      <c r="D34" s="49">
        <f>'часть 1'!J148</f>
        <v>159</v>
      </c>
      <c r="E34" s="45">
        <v>4</v>
      </c>
      <c r="F34" s="48">
        <f>'часть 1'!K148</f>
        <v>29929705.830000002</v>
      </c>
    </row>
    <row r="35" spans="1:6" s="47" customFormat="1" ht="15" customHeight="1">
      <c r="A35" s="125">
        <v>26</v>
      </c>
      <c r="B35" s="44" t="s">
        <v>462</v>
      </c>
      <c r="C35" s="48">
        <f>'часть 1'!G153</f>
        <v>2444.1999999999998</v>
      </c>
      <c r="D35" s="45">
        <f>'часть 1'!J153</f>
        <v>70</v>
      </c>
      <c r="E35" s="45">
        <v>2</v>
      </c>
      <c r="F35" s="48">
        <f>'часть 1'!K153</f>
        <v>22419710.82</v>
      </c>
    </row>
    <row r="36" spans="1:6" s="47" customFormat="1" ht="12.75">
      <c r="A36" s="125">
        <v>27</v>
      </c>
      <c r="B36" s="51" t="s">
        <v>461</v>
      </c>
      <c r="C36" s="48">
        <f>'часть 1'!G156</f>
        <v>3815.8</v>
      </c>
      <c r="D36" s="49">
        <f>'часть 1'!J156</f>
        <v>118</v>
      </c>
      <c r="E36" s="45">
        <v>3</v>
      </c>
      <c r="F36" s="48">
        <f>'часть 1'!K156</f>
        <v>24559839.18</v>
      </c>
    </row>
    <row r="37" spans="1:6" s="47" customFormat="1" ht="12.75">
      <c r="A37" s="125">
        <v>28</v>
      </c>
      <c r="B37" s="51" t="s">
        <v>333</v>
      </c>
      <c r="C37" s="48">
        <f>'часть 1'!G160</f>
        <v>21204.199999999997</v>
      </c>
      <c r="D37" s="45">
        <f>'часть 1'!J160</f>
        <v>915</v>
      </c>
      <c r="E37" s="45">
        <v>7</v>
      </c>
      <c r="F37" s="48">
        <f>'часть 1'!K160</f>
        <v>61628586.450000003</v>
      </c>
    </row>
    <row r="38" spans="1:6" s="47" customFormat="1" ht="12.75">
      <c r="A38" s="125">
        <v>29</v>
      </c>
      <c r="B38" s="51" t="s">
        <v>201</v>
      </c>
      <c r="C38" s="48">
        <f>'часть 1'!G168</f>
        <v>1585.1</v>
      </c>
      <c r="D38" s="45">
        <f>'часть 1'!J168</f>
        <v>42</v>
      </c>
      <c r="E38" s="45">
        <v>1</v>
      </c>
      <c r="F38" s="48">
        <f>'часть 1'!K168</f>
        <v>5414514.79</v>
      </c>
    </row>
    <row r="39" spans="1:6" s="47" customFormat="1" ht="12.75">
      <c r="A39" s="213" t="s">
        <v>639</v>
      </c>
      <c r="B39" s="213"/>
      <c r="C39" s="213"/>
      <c r="D39" s="213"/>
      <c r="E39" s="213"/>
      <c r="F39" s="213"/>
    </row>
    <row r="40" spans="1:6" s="47" customFormat="1" ht="12.75">
      <c r="A40" s="125"/>
      <c r="B40" s="51" t="s">
        <v>328</v>
      </c>
      <c r="C40" s="48">
        <f>SUM(C41:C66)</f>
        <v>182762.74</v>
      </c>
      <c r="D40" s="49">
        <f t="shared" ref="D40:F40" si="1">SUM(D41:D66)</f>
        <v>6532</v>
      </c>
      <c r="E40" s="49">
        <f t="shared" si="1"/>
        <v>80</v>
      </c>
      <c r="F40" s="48">
        <f t="shared" si="1"/>
        <v>935546845.12</v>
      </c>
    </row>
    <row r="41" spans="1:6" s="47" customFormat="1" ht="12.75">
      <c r="A41" s="125">
        <v>1</v>
      </c>
      <c r="B41" s="44" t="s">
        <v>475</v>
      </c>
      <c r="C41" s="48">
        <f>'часть 1'!G195</f>
        <v>43100.9</v>
      </c>
      <c r="D41" s="45">
        <f>'часть 1'!J195</f>
        <v>1647</v>
      </c>
      <c r="E41" s="45">
        <v>11</v>
      </c>
      <c r="F41" s="48">
        <f>'часть 1'!K195</f>
        <v>291528299.35000002</v>
      </c>
    </row>
    <row r="42" spans="1:6" s="47" customFormat="1" ht="12.75">
      <c r="A42" s="125">
        <v>2</v>
      </c>
      <c r="B42" s="44" t="s">
        <v>153</v>
      </c>
      <c r="C42" s="48">
        <f>'часть 1'!G207</f>
        <v>1700.7</v>
      </c>
      <c r="D42" s="45">
        <f>'часть 1'!J207</f>
        <v>77</v>
      </c>
      <c r="E42" s="45">
        <v>1</v>
      </c>
      <c r="F42" s="48">
        <f>'часть 1'!K207</f>
        <v>7624155.1399999997</v>
      </c>
    </row>
    <row r="43" spans="1:6" s="47" customFormat="1" ht="12.75">
      <c r="A43" s="125">
        <v>3</v>
      </c>
      <c r="B43" s="44" t="s">
        <v>222</v>
      </c>
      <c r="C43" s="48">
        <f>'часть 1'!G209</f>
        <v>503.2</v>
      </c>
      <c r="D43" s="45">
        <f>'часть 1'!J209</f>
        <v>16</v>
      </c>
      <c r="E43" s="45">
        <v>1</v>
      </c>
      <c r="F43" s="48">
        <f>'часть 1'!K209</f>
        <v>6509855.54</v>
      </c>
    </row>
    <row r="44" spans="1:6" s="47" customFormat="1" ht="12.75">
      <c r="A44" s="125">
        <v>4</v>
      </c>
      <c r="B44" s="44" t="s">
        <v>130</v>
      </c>
      <c r="C44" s="48">
        <f>'часть 1'!G211</f>
        <v>5152.6000000000004</v>
      </c>
      <c r="D44" s="45">
        <f>'часть 1'!J211</f>
        <v>181</v>
      </c>
      <c r="E44" s="45">
        <v>4</v>
      </c>
      <c r="F44" s="48">
        <f>'часть 1'!K211</f>
        <v>32049879.419999998</v>
      </c>
    </row>
    <row r="45" spans="1:6" s="47" customFormat="1" ht="12.75">
      <c r="A45" s="125">
        <v>5</v>
      </c>
      <c r="B45" s="44" t="s">
        <v>73</v>
      </c>
      <c r="C45" s="48">
        <f>'часть 1'!G216</f>
        <v>1747.4</v>
      </c>
      <c r="D45" s="45">
        <f>'часть 1'!J216</f>
        <v>37</v>
      </c>
      <c r="E45" s="45">
        <v>1</v>
      </c>
      <c r="F45" s="48">
        <f>'часть 1'!K216</f>
        <v>28644390.699999999</v>
      </c>
    </row>
    <row r="46" spans="1:6" s="47" customFormat="1" ht="12.75">
      <c r="A46" s="125">
        <v>6</v>
      </c>
      <c r="B46" s="44" t="s">
        <v>142</v>
      </c>
      <c r="C46" s="48">
        <f>'часть 1'!G218</f>
        <v>1314.5</v>
      </c>
      <c r="D46" s="45">
        <f>'часть 1'!J218</f>
        <v>27</v>
      </c>
      <c r="E46" s="45">
        <v>1</v>
      </c>
      <c r="F46" s="48">
        <f>'часть 1'!K218</f>
        <v>8916659.0500000007</v>
      </c>
    </row>
    <row r="47" spans="1:6" s="47" customFormat="1" ht="12.75">
      <c r="A47" s="125">
        <v>7</v>
      </c>
      <c r="B47" s="44" t="s">
        <v>284</v>
      </c>
      <c r="C47" s="48">
        <f>'часть 1'!G220</f>
        <v>8207.6</v>
      </c>
      <c r="D47" s="45">
        <f>'часть 1'!J220</f>
        <v>259</v>
      </c>
      <c r="E47" s="45">
        <v>6</v>
      </c>
      <c r="F47" s="48">
        <f>'часть 1'!K220</f>
        <v>57303746.829999998</v>
      </c>
    </row>
    <row r="48" spans="1:6" s="47" customFormat="1" ht="12.75">
      <c r="A48" s="125">
        <v>8</v>
      </c>
      <c r="B48" s="50" t="s">
        <v>116</v>
      </c>
      <c r="C48" s="48">
        <f>'часть 1'!G227</f>
        <v>1594.2</v>
      </c>
      <c r="D48" s="45">
        <f>'часть 1'!J227</f>
        <v>68</v>
      </c>
      <c r="E48" s="45">
        <v>1</v>
      </c>
      <c r="F48" s="48">
        <f>'часть 1'!K227</f>
        <v>5944476.0800000001</v>
      </c>
    </row>
    <row r="49" spans="1:6" s="47" customFormat="1" ht="12.75">
      <c r="A49" s="125">
        <v>9</v>
      </c>
      <c r="B49" s="50" t="s">
        <v>271</v>
      </c>
      <c r="C49" s="48">
        <f>'часть 1'!G229</f>
        <v>532.4</v>
      </c>
      <c r="D49" s="45">
        <f>'часть 1'!J229</f>
        <v>30</v>
      </c>
      <c r="E49" s="45">
        <v>1</v>
      </c>
      <c r="F49" s="48">
        <f>'часть 1'!K229</f>
        <v>3373376.73</v>
      </c>
    </row>
    <row r="50" spans="1:6" s="47" customFormat="1" ht="12.75">
      <c r="A50" s="125">
        <v>10</v>
      </c>
      <c r="B50" s="50" t="s">
        <v>76</v>
      </c>
      <c r="C50" s="48">
        <f>'часть 1'!G231</f>
        <v>5663.5599999999995</v>
      </c>
      <c r="D50" s="49">
        <f>'часть 1'!J231</f>
        <v>225</v>
      </c>
      <c r="E50" s="49">
        <v>5</v>
      </c>
      <c r="F50" s="48">
        <f>'часть 1'!K231</f>
        <v>27067512.969999999</v>
      </c>
    </row>
    <row r="51" spans="1:6" s="47" customFormat="1" ht="12.75">
      <c r="A51" s="125">
        <v>11</v>
      </c>
      <c r="B51" s="50" t="s">
        <v>270</v>
      </c>
      <c r="C51" s="48">
        <f>'часть 1'!G237</f>
        <v>990</v>
      </c>
      <c r="D51" s="45">
        <f>'часть 1'!J237</f>
        <v>29</v>
      </c>
      <c r="E51" s="45">
        <v>1</v>
      </c>
      <c r="F51" s="48">
        <f>'часть 1'!K237</f>
        <v>11436232.699999999</v>
      </c>
    </row>
    <row r="52" spans="1:6" s="47" customFormat="1" ht="12.75">
      <c r="A52" s="125">
        <v>12</v>
      </c>
      <c r="B52" s="50" t="s">
        <v>161</v>
      </c>
      <c r="C52" s="48">
        <f>'часть 1'!G239</f>
        <v>2747</v>
      </c>
      <c r="D52" s="45">
        <f>'часть 1'!J239</f>
        <v>81</v>
      </c>
      <c r="E52" s="45">
        <v>4</v>
      </c>
      <c r="F52" s="48">
        <f>'часть 1'!K239</f>
        <v>23425815.809999999</v>
      </c>
    </row>
    <row r="53" spans="1:6" s="47" customFormat="1" ht="12.75">
      <c r="A53" s="125">
        <v>13</v>
      </c>
      <c r="B53" s="50" t="s">
        <v>143</v>
      </c>
      <c r="C53" s="48">
        <f>'часть 1'!G244</f>
        <v>4082.7</v>
      </c>
      <c r="D53" s="49">
        <f>'часть 1'!J244</f>
        <v>111</v>
      </c>
      <c r="E53" s="49">
        <v>1</v>
      </c>
      <c r="F53" s="48">
        <f>'часть 1'!K244</f>
        <v>11975759</v>
      </c>
    </row>
    <row r="54" spans="1:6" s="47" customFormat="1" ht="12.75">
      <c r="A54" s="125">
        <v>14</v>
      </c>
      <c r="B54" s="50" t="s">
        <v>233</v>
      </c>
      <c r="C54" s="48">
        <f>'часть 1'!G246</f>
        <v>45616.800000000003</v>
      </c>
      <c r="D54" s="49">
        <f>'часть 1'!J246</f>
        <v>1640</v>
      </c>
      <c r="E54" s="49">
        <v>12</v>
      </c>
      <c r="F54" s="48">
        <f>'часть 1'!K246</f>
        <v>140589329.50000003</v>
      </c>
    </row>
    <row r="55" spans="1:6" s="47" customFormat="1" ht="12.75">
      <c r="A55" s="125">
        <v>15</v>
      </c>
      <c r="B55" s="50" t="s">
        <v>154</v>
      </c>
      <c r="C55" s="48">
        <f>'часть 1'!G259</f>
        <v>4022.9</v>
      </c>
      <c r="D55" s="49">
        <f>'часть 1'!J259</f>
        <v>134</v>
      </c>
      <c r="E55" s="49">
        <v>1</v>
      </c>
      <c r="F55" s="48">
        <f>'часть 1'!K259</f>
        <v>21816813.16</v>
      </c>
    </row>
    <row r="56" spans="1:6" s="47" customFormat="1" ht="12.75">
      <c r="A56" s="125">
        <v>16</v>
      </c>
      <c r="B56" s="50" t="s">
        <v>334</v>
      </c>
      <c r="C56" s="48">
        <f>'часть 1'!G261</f>
        <v>5272.7</v>
      </c>
      <c r="D56" s="45">
        <f>'часть 1'!J261</f>
        <v>207</v>
      </c>
      <c r="E56" s="45">
        <v>3</v>
      </c>
      <c r="F56" s="48">
        <f>'часть 1'!K261</f>
        <v>19578516.690000001</v>
      </c>
    </row>
    <row r="57" spans="1:6" s="47" customFormat="1" ht="12.75">
      <c r="A57" s="125">
        <v>17</v>
      </c>
      <c r="B57" s="50" t="s">
        <v>200</v>
      </c>
      <c r="C57" s="48">
        <f>'часть 1'!G265</f>
        <v>845.7</v>
      </c>
      <c r="D57" s="45">
        <f>'часть 1'!J265</f>
        <v>23</v>
      </c>
      <c r="E57" s="45">
        <v>1</v>
      </c>
      <c r="F57" s="48">
        <f>'часть 1'!K265</f>
        <v>5899098.4000000004</v>
      </c>
    </row>
    <row r="58" spans="1:6" s="47" customFormat="1" ht="12.75">
      <c r="A58" s="125">
        <v>18</v>
      </c>
      <c r="B58" s="50" t="s">
        <v>186</v>
      </c>
      <c r="C58" s="48">
        <f>'часть 1'!G267</f>
        <v>680.9</v>
      </c>
      <c r="D58" s="45">
        <f>'часть 1'!J267</f>
        <v>20</v>
      </c>
      <c r="E58" s="45">
        <v>1</v>
      </c>
      <c r="F58" s="48">
        <f>'часть 1'!K267</f>
        <v>7050163.5199999996</v>
      </c>
    </row>
    <row r="59" spans="1:6" s="47" customFormat="1" ht="12.75">
      <c r="A59" s="125">
        <v>19</v>
      </c>
      <c r="B59" s="50" t="s">
        <v>280</v>
      </c>
      <c r="C59" s="48">
        <f>'часть 1'!G269</f>
        <v>9948</v>
      </c>
      <c r="D59" s="45">
        <f>'часть 1'!J269</f>
        <v>355</v>
      </c>
      <c r="E59" s="45">
        <v>1</v>
      </c>
      <c r="F59" s="48">
        <f>'часть 1'!K269</f>
        <v>33436089.73</v>
      </c>
    </row>
    <row r="60" spans="1:6" s="47" customFormat="1" ht="12.75">
      <c r="A60" s="125">
        <v>20</v>
      </c>
      <c r="B60" s="50" t="s">
        <v>326</v>
      </c>
      <c r="C60" s="48">
        <f>'часть 1'!G271</f>
        <v>20325</v>
      </c>
      <c r="D60" s="45">
        <f>'часть 1'!J271</f>
        <v>654</v>
      </c>
      <c r="E60" s="45">
        <v>10</v>
      </c>
      <c r="F60" s="48">
        <f>'часть 1'!K271</f>
        <v>75077961.910000011</v>
      </c>
    </row>
    <row r="61" spans="1:6" s="47" customFormat="1" ht="12.75">
      <c r="A61" s="125">
        <v>21</v>
      </c>
      <c r="B61" s="50" t="s">
        <v>141</v>
      </c>
      <c r="C61" s="48">
        <f>'часть 1'!G282</f>
        <v>841.6</v>
      </c>
      <c r="D61" s="45">
        <f>'часть 1'!J282</f>
        <v>20</v>
      </c>
      <c r="E61" s="45">
        <v>1</v>
      </c>
      <c r="F61" s="48">
        <f>'часть 1'!K282</f>
        <v>10491277.32</v>
      </c>
    </row>
    <row r="62" spans="1:6" s="47" customFormat="1" ht="12.75">
      <c r="A62" s="125">
        <v>22</v>
      </c>
      <c r="B62" s="51" t="s">
        <v>139</v>
      </c>
      <c r="C62" s="48">
        <f>'часть 1'!G284</f>
        <v>388.5</v>
      </c>
      <c r="D62" s="45">
        <f>'часть 1'!J284</f>
        <v>14</v>
      </c>
      <c r="E62" s="45">
        <v>1</v>
      </c>
      <c r="F62" s="48">
        <f>'часть 1'!K284</f>
        <v>8776575.5099999998</v>
      </c>
    </row>
    <row r="63" spans="1:6" s="47" customFormat="1" ht="12.75">
      <c r="A63" s="125">
        <v>23</v>
      </c>
      <c r="B63" s="51" t="s">
        <v>318</v>
      </c>
      <c r="C63" s="48">
        <f>'часть 1'!G286</f>
        <v>3335.1000000000004</v>
      </c>
      <c r="D63" s="49">
        <f>'часть 1'!J286</f>
        <v>130</v>
      </c>
      <c r="E63" s="45">
        <v>2</v>
      </c>
      <c r="F63" s="48">
        <f>'часть 1'!K286</f>
        <v>24408586.050000001</v>
      </c>
    </row>
    <row r="64" spans="1:6" s="47" customFormat="1" ht="12.75">
      <c r="A64" s="125">
        <v>24</v>
      </c>
      <c r="B64" s="51" t="s">
        <v>462</v>
      </c>
      <c r="C64" s="48">
        <f>'часть 1'!G289</f>
        <v>1903.5800000000002</v>
      </c>
      <c r="D64" s="45">
        <f>'часть 1'!J289</f>
        <v>72</v>
      </c>
      <c r="E64" s="45">
        <v>5</v>
      </c>
      <c r="F64" s="48">
        <f>'часть 1'!K289</f>
        <v>22456948.959999997</v>
      </c>
    </row>
    <row r="65" spans="1:6" s="47" customFormat="1" ht="12.75">
      <c r="A65" s="125">
        <v>25</v>
      </c>
      <c r="B65" s="51" t="s">
        <v>461</v>
      </c>
      <c r="C65" s="48">
        <f>'часть 1'!G295</f>
        <v>3890.8</v>
      </c>
      <c r="D65" s="49">
        <f>'часть 1'!J295</f>
        <v>97</v>
      </c>
      <c r="E65" s="45">
        <v>1</v>
      </c>
      <c r="F65" s="48">
        <f>'часть 1'!K295</f>
        <v>15432679.130000001</v>
      </c>
    </row>
    <row r="66" spans="1:6" s="47" customFormat="1" ht="12.75">
      <c r="A66" s="125">
        <v>26</v>
      </c>
      <c r="B66" s="51" t="s">
        <v>333</v>
      </c>
      <c r="C66" s="48">
        <f>'часть 1'!G297</f>
        <v>8354.4</v>
      </c>
      <c r="D66" s="49">
        <f>'часть 1'!J297</f>
        <v>378</v>
      </c>
      <c r="E66" s="45">
        <v>3</v>
      </c>
      <c r="F66" s="48">
        <f>'часть 1'!K297</f>
        <v>34732645.920000002</v>
      </c>
    </row>
    <row r="67" spans="1:6" s="47" customFormat="1" ht="20.25" customHeight="1">
      <c r="A67" s="213" t="s">
        <v>640</v>
      </c>
      <c r="B67" s="213"/>
      <c r="C67" s="213"/>
      <c r="D67" s="213"/>
      <c r="E67" s="213"/>
      <c r="F67" s="213"/>
    </row>
    <row r="68" spans="1:6" s="47" customFormat="1" ht="12.75">
      <c r="A68" s="125"/>
      <c r="B68" s="51" t="s">
        <v>328</v>
      </c>
      <c r="C68" s="48">
        <f>SUM(C69:C93)</f>
        <v>203977.40999999997</v>
      </c>
      <c r="D68" s="49">
        <f t="shared" ref="D68:F68" si="2">SUM(D69:D93)</f>
        <v>7018</v>
      </c>
      <c r="E68" s="49">
        <f t="shared" si="2"/>
        <v>78</v>
      </c>
      <c r="F68" s="48">
        <f t="shared" si="2"/>
        <v>916128688.43000007</v>
      </c>
    </row>
    <row r="69" spans="1:6" s="47" customFormat="1" ht="12.75">
      <c r="A69" s="125">
        <v>1</v>
      </c>
      <c r="B69" s="51" t="s">
        <v>475</v>
      </c>
      <c r="C69" s="48">
        <f>'часть 1'!G311</f>
        <v>44264.3</v>
      </c>
      <c r="D69" s="45">
        <f>'часть 1'!J311</f>
        <v>1675</v>
      </c>
      <c r="E69" s="45">
        <v>8</v>
      </c>
      <c r="F69" s="48">
        <f>'часть 1'!K311</f>
        <v>279574637.33000004</v>
      </c>
    </row>
    <row r="70" spans="1:6" s="47" customFormat="1" ht="12.75">
      <c r="A70" s="125">
        <v>2</v>
      </c>
      <c r="B70" s="51" t="s">
        <v>462</v>
      </c>
      <c r="C70" s="48">
        <f>'часть 1'!G320</f>
        <v>2202.2999999999997</v>
      </c>
      <c r="D70" s="45">
        <f>'часть 1'!J320</f>
        <v>82</v>
      </c>
      <c r="E70" s="45">
        <v>4</v>
      </c>
      <c r="F70" s="48">
        <f>'часть 1'!K320</f>
        <v>21525446.109999999</v>
      </c>
    </row>
    <row r="71" spans="1:6" s="47" customFormat="1" ht="12.75">
      <c r="A71" s="125">
        <v>3</v>
      </c>
      <c r="B71" s="44" t="s">
        <v>153</v>
      </c>
      <c r="C71" s="48">
        <f>'часть 1'!G325</f>
        <v>3892.1</v>
      </c>
      <c r="D71" s="45">
        <f>'часть 1'!J325</f>
        <v>116</v>
      </c>
      <c r="E71" s="45">
        <v>1</v>
      </c>
      <c r="F71" s="48">
        <f>'часть 1'!K325</f>
        <v>17339134.239999998</v>
      </c>
    </row>
    <row r="72" spans="1:6" s="47" customFormat="1" ht="12.75">
      <c r="A72" s="125">
        <v>4</v>
      </c>
      <c r="B72" s="44" t="s">
        <v>222</v>
      </c>
      <c r="C72" s="48">
        <f>'часть 1'!G327</f>
        <v>1422.4</v>
      </c>
      <c r="D72" s="45">
        <f>'часть 1'!J327</f>
        <v>55</v>
      </c>
      <c r="E72" s="45">
        <v>1</v>
      </c>
      <c r="F72" s="48">
        <f>'часть 1'!K327</f>
        <v>6881368.7700000005</v>
      </c>
    </row>
    <row r="73" spans="1:6" s="47" customFormat="1" ht="12.75">
      <c r="A73" s="125">
        <v>5</v>
      </c>
      <c r="B73" s="44" t="s">
        <v>130</v>
      </c>
      <c r="C73" s="48">
        <f>'часть 1'!G329</f>
        <v>7239.7000000000007</v>
      </c>
      <c r="D73" s="49">
        <f>'часть 1'!J329</f>
        <v>274</v>
      </c>
      <c r="E73" s="49">
        <v>3</v>
      </c>
      <c r="F73" s="48">
        <f>'часть 1'!K329</f>
        <v>33477501.5</v>
      </c>
    </row>
    <row r="74" spans="1:6" s="47" customFormat="1" ht="12.75">
      <c r="A74" s="125">
        <v>6</v>
      </c>
      <c r="B74" s="50" t="s">
        <v>73</v>
      </c>
      <c r="C74" s="48">
        <f>'часть 1'!G333</f>
        <v>10782.5</v>
      </c>
      <c r="D74" s="45">
        <f>'часть 1'!J333</f>
        <v>367</v>
      </c>
      <c r="E74" s="45">
        <v>5</v>
      </c>
      <c r="F74" s="48">
        <f>'часть 1'!K333</f>
        <v>37157716.109999999</v>
      </c>
    </row>
    <row r="75" spans="1:6" s="47" customFormat="1" ht="12.75">
      <c r="A75" s="125">
        <v>7</v>
      </c>
      <c r="B75" s="50" t="s">
        <v>284</v>
      </c>
      <c r="C75" s="48">
        <f>'часть 1'!G339</f>
        <v>8837.1</v>
      </c>
      <c r="D75" s="45">
        <f>'часть 1'!J339</f>
        <v>213</v>
      </c>
      <c r="E75" s="45">
        <v>5</v>
      </c>
      <c r="F75" s="48">
        <f>'часть 1'!K339</f>
        <v>47809871.170000002</v>
      </c>
    </row>
    <row r="76" spans="1:6" s="47" customFormat="1" ht="12.75">
      <c r="A76" s="125">
        <v>8</v>
      </c>
      <c r="B76" s="50" t="s">
        <v>67</v>
      </c>
      <c r="C76" s="48">
        <f>'часть 1'!G345</f>
        <v>506.7</v>
      </c>
      <c r="D76" s="45">
        <f>'часть 1'!J345</f>
        <v>11</v>
      </c>
      <c r="E76" s="45">
        <v>1</v>
      </c>
      <c r="F76" s="48">
        <f>'часть 1'!K345</f>
        <v>7944681.8099999996</v>
      </c>
    </row>
    <row r="77" spans="1:6" s="47" customFormat="1" ht="12.75">
      <c r="A77" s="125">
        <v>9</v>
      </c>
      <c r="B77" s="50" t="s">
        <v>116</v>
      </c>
      <c r="C77" s="48">
        <f>'часть 1'!G347</f>
        <v>513.79999999999995</v>
      </c>
      <c r="D77" s="45">
        <f>'часть 1'!J347</f>
        <v>29</v>
      </c>
      <c r="E77" s="45">
        <v>1</v>
      </c>
      <c r="F77" s="48">
        <f>'часть 1'!K347</f>
        <v>7126509.5700000003</v>
      </c>
    </row>
    <row r="78" spans="1:6" s="47" customFormat="1" ht="12.75">
      <c r="A78" s="125">
        <v>10</v>
      </c>
      <c r="B78" s="50" t="s">
        <v>271</v>
      </c>
      <c r="C78" s="48">
        <f>'часть 1'!G349</f>
        <v>516.20000000000005</v>
      </c>
      <c r="D78" s="45">
        <f>'часть 1'!J349</f>
        <v>28</v>
      </c>
      <c r="E78" s="45">
        <v>1</v>
      </c>
      <c r="F78" s="48">
        <f>'часть 1'!K349</f>
        <v>6575963.7699999996</v>
      </c>
    </row>
    <row r="79" spans="1:6" s="47" customFormat="1" ht="12.75">
      <c r="A79" s="125">
        <v>11</v>
      </c>
      <c r="B79" s="50" t="s">
        <v>76</v>
      </c>
      <c r="C79" s="48">
        <f>'часть 1'!G351</f>
        <v>4170.8999999999996</v>
      </c>
      <c r="D79" s="49">
        <f>'часть 1'!J351</f>
        <v>147</v>
      </c>
      <c r="E79" s="49">
        <v>2</v>
      </c>
      <c r="F79" s="48">
        <f>'часть 1'!K351</f>
        <v>22615876.66</v>
      </c>
    </row>
    <row r="80" spans="1:6" s="47" customFormat="1" ht="12.75">
      <c r="A80" s="125">
        <v>12</v>
      </c>
      <c r="B80" s="50" t="s">
        <v>270</v>
      </c>
      <c r="C80" s="48">
        <f>'часть 1'!G354</f>
        <v>10519.5</v>
      </c>
      <c r="D80" s="45">
        <f>'часть 1'!J354</f>
        <v>332</v>
      </c>
      <c r="E80" s="45">
        <v>1</v>
      </c>
      <c r="F80" s="48">
        <f>'часть 1'!K354</f>
        <v>25906886.289999999</v>
      </c>
    </row>
    <row r="81" spans="1:6" s="47" customFormat="1" ht="12.75">
      <c r="A81" s="125">
        <v>13</v>
      </c>
      <c r="B81" s="50" t="s">
        <v>161</v>
      </c>
      <c r="C81" s="48">
        <f>'часть 1'!G356</f>
        <v>1664.7</v>
      </c>
      <c r="D81" s="45">
        <f>'часть 1'!J356</f>
        <v>36</v>
      </c>
      <c r="E81" s="45">
        <v>3</v>
      </c>
      <c r="F81" s="48">
        <f>'часть 1'!K356</f>
        <v>25422981.789999999</v>
      </c>
    </row>
    <row r="82" spans="1:6" s="47" customFormat="1" ht="12.75">
      <c r="A82" s="125">
        <v>14</v>
      </c>
      <c r="B82" s="50" t="s">
        <v>233</v>
      </c>
      <c r="C82" s="48">
        <f>'часть 1'!G360</f>
        <v>44271.170000000013</v>
      </c>
      <c r="D82" s="49">
        <f>'часть 1'!J360</f>
        <v>1515</v>
      </c>
      <c r="E82" s="49">
        <v>16</v>
      </c>
      <c r="F82" s="48">
        <f>'часть 1'!K360</f>
        <v>133918828.46000001</v>
      </c>
    </row>
    <row r="83" spans="1:6" s="47" customFormat="1" ht="12.75">
      <c r="A83" s="125">
        <v>15</v>
      </c>
      <c r="B83" s="50" t="s">
        <v>68</v>
      </c>
      <c r="C83" s="48">
        <f>'часть 1'!G377</f>
        <v>3181</v>
      </c>
      <c r="D83" s="45">
        <f>'часть 1'!J377</f>
        <v>94</v>
      </c>
      <c r="E83" s="45">
        <v>1</v>
      </c>
      <c r="F83" s="48">
        <f>'часть 1'!K377</f>
        <v>11964589.93</v>
      </c>
    </row>
    <row r="84" spans="1:6" s="47" customFormat="1" ht="12.75">
      <c r="A84" s="125">
        <v>16</v>
      </c>
      <c r="B84" s="50" t="s">
        <v>154</v>
      </c>
      <c r="C84" s="48">
        <f>'часть 1'!G379</f>
        <v>1292.0999999999999</v>
      </c>
      <c r="D84" s="45">
        <f>'часть 1'!J379</f>
        <v>43</v>
      </c>
      <c r="E84" s="45">
        <v>2</v>
      </c>
      <c r="F84" s="48">
        <f>'часть 1'!K379</f>
        <v>12665612.08</v>
      </c>
    </row>
    <row r="85" spans="1:6" s="47" customFormat="1" ht="12.75">
      <c r="A85" s="125">
        <v>17</v>
      </c>
      <c r="B85" s="50" t="s">
        <v>97</v>
      </c>
      <c r="C85" s="48">
        <f>'часть 1'!G382</f>
        <v>8577.2999999999993</v>
      </c>
      <c r="D85" s="45">
        <f>'часть 1'!J382</f>
        <v>324</v>
      </c>
      <c r="E85" s="45">
        <v>4</v>
      </c>
      <c r="F85" s="48">
        <f>'часть 1'!K382</f>
        <v>30384089.410000004</v>
      </c>
    </row>
    <row r="86" spans="1:6" s="47" customFormat="1" ht="12.75">
      <c r="A86" s="125">
        <v>18</v>
      </c>
      <c r="B86" s="50" t="s">
        <v>200</v>
      </c>
      <c r="C86" s="48">
        <f>'часть 1'!G387</f>
        <v>563.79999999999995</v>
      </c>
      <c r="D86" s="45">
        <f>'часть 1'!J387</f>
        <v>11</v>
      </c>
      <c r="E86" s="45">
        <v>1</v>
      </c>
      <c r="F86" s="48">
        <f>'часть 1'!K387</f>
        <v>7539418.9299999997</v>
      </c>
    </row>
    <row r="87" spans="1:6" s="47" customFormat="1" ht="12.75">
      <c r="A87" s="125">
        <v>19</v>
      </c>
      <c r="B87" s="50" t="s">
        <v>280</v>
      </c>
      <c r="C87" s="48">
        <f>'часть 1'!G389</f>
        <v>8601.7999999999993</v>
      </c>
      <c r="D87" s="45">
        <f>'часть 1'!J389</f>
        <v>224</v>
      </c>
      <c r="E87" s="45">
        <v>3</v>
      </c>
      <c r="F87" s="48">
        <f>'часть 1'!K389</f>
        <v>22744296.280000001</v>
      </c>
    </row>
    <row r="88" spans="1:6" s="47" customFormat="1" ht="12.75">
      <c r="A88" s="125">
        <v>20</v>
      </c>
      <c r="B88" s="51" t="s">
        <v>138</v>
      </c>
      <c r="C88" s="48">
        <f>'часть 1'!G393</f>
        <v>1421.8</v>
      </c>
      <c r="D88" s="45">
        <f>'часть 1'!J393</f>
        <v>58</v>
      </c>
      <c r="E88" s="45">
        <v>1</v>
      </c>
      <c r="F88" s="48">
        <f>'часть 1'!K393</f>
        <v>11699098.34</v>
      </c>
    </row>
    <row r="89" spans="1:6" s="47" customFormat="1" ht="12.75">
      <c r="A89" s="125">
        <v>21</v>
      </c>
      <c r="B89" s="51" t="s">
        <v>326</v>
      </c>
      <c r="C89" s="48">
        <f>'часть 1'!G395</f>
        <v>21264.320000000003</v>
      </c>
      <c r="D89" s="45">
        <f>'часть 1'!J395</f>
        <v>686</v>
      </c>
      <c r="E89" s="45">
        <v>8</v>
      </c>
      <c r="F89" s="48">
        <f>'часть 1'!K395</f>
        <v>73228121.070000008</v>
      </c>
    </row>
    <row r="90" spans="1:6" s="47" customFormat="1" ht="12.75">
      <c r="A90" s="125">
        <v>22</v>
      </c>
      <c r="B90" s="50" t="s">
        <v>141</v>
      </c>
      <c r="C90" s="48">
        <f>'часть 1'!G404</f>
        <v>833.9</v>
      </c>
      <c r="D90" s="45">
        <f>'часть 1'!J404</f>
        <v>22</v>
      </c>
      <c r="E90" s="45">
        <v>1</v>
      </c>
      <c r="F90" s="48">
        <f>'часть 1'!K404</f>
        <v>10942862.5</v>
      </c>
    </row>
    <row r="91" spans="1:6" s="47" customFormat="1" ht="12.75">
      <c r="A91" s="125">
        <v>23</v>
      </c>
      <c r="B91" s="51" t="s">
        <v>318</v>
      </c>
      <c r="C91" s="48">
        <f>'часть 1'!G406</f>
        <v>1758.7</v>
      </c>
      <c r="D91" s="49">
        <f>'часть 1'!J406</f>
        <v>46</v>
      </c>
      <c r="E91" s="45">
        <v>2</v>
      </c>
      <c r="F91" s="48">
        <f>'часть 1'!K406</f>
        <v>22852544.609999999</v>
      </c>
    </row>
    <row r="92" spans="1:6" s="47" customFormat="1" ht="12.75">
      <c r="A92" s="125">
        <v>24</v>
      </c>
      <c r="B92" s="51" t="s">
        <v>333</v>
      </c>
      <c r="C92" s="48">
        <f>'часть 1'!G409</f>
        <v>14174.42</v>
      </c>
      <c r="D92" s="45">
        <f>'часть 1'!J409</f>
        <v>592</v>
      </c>
      <c r="E92" s="45">
        <v>2</v>
      </c>
      <c r="F92" s="48">
        <f>'часть 1'!K409</f>
        <v>32749963.789999999</v>
      </c>
    </row>
    <row r="93" spans="1:6" s="47" customFormat="1" ht="12.75">
      <c r="A93" s="125">
        <v>25</v>
      </c>
      <c r="B93" s="52" t="s">
        <v>201</v>
      </c>
      <c r="C93" s="48">
        <f>'часть 1'!G412</f>
        <v>1504.9</v>
      </c>
      <c r="D93" s="49">
        <f>'часть 1'!J412</f>
        <v>38</v>
      </c>
      <c r="E93" s="49">
        <v>1</v>
      </c>
      <c r="F93" s="48">
        <f>'часть 1'!K412</f>
        <v>6080687.9100000001</v>
      </c>
    </row>
    <row r="94" spans="1:6" s="47" customFormat="1" ht="21" customHeight="1">
      <c r="A94" s="213" t="s">
        <v>335</v>
      </c>
      <c r="B94" s="213"/>
      <c r="C94" s="213"/>
      <c r="D94" s="213"/>
      <c r="E94" s="213"/>
      <c r="F94" s="213"/>
    </row>
    <row r="95" spans="1:6" s="47" customFormat="1" ht="12.75">
      <c r="A95" s="125"/>
      <c r="B95" s="44" t="s">
        <v>328</v>
      </c>
      <c r="C95" s="48">
        <f>SUM(C96:C128)</f>
        <v>683602.22999999986</v>
      </c>
      <c r="D95" s="49">
        <f t="shared" ref="D95:F95" si="3">SUM(D96:D128)</f>
        <v>24333</v>
      </c>
      <c r="E95" s="45">
        <f t="shared" si="3"/>
        <v>352</v>
      </c>
      <c r="F95" s="48">
        <f t="shared" si="3"/>
        <v>2235223130.7175722</v>
      </c>
    </row>
    <row r="96" spans="1:6" s="47" customFormat="1" ht="12.75">
      <c r="A96" s="125">
        <v>1</v>
      </c>
      <c r="B96" s="44" t="s">
        <v>475</v>
      </c>
      <c r="C96" s="48">
        <f>'часть 1'!G424</f>
        <v>397106.08</v>
      </c>
      <c r="D96" s="45">
        <f>'часть 1'!J424</f>
        <v>14466</v>
      </c>
      <c r="E96" s="45">
        <v>135</v>
      </c>
      <c r="F96" s="48">
        <f>'часть 1'!K424</f>
        <v>1353368558.4969604</v>
      </c>
    </row>
    <row r="97" spans="1:6" s="47" customFormat="1" ht="12.75">
      <c r="A97" s="125">
        <v>2</v>
      </c>
      <c r="B97" s="51" t="s">
        <v>462</v>
      </c>
      <c r="C97" s="48">
        <f>'часть 1'!G560</f>
        <v>8154.9999999999991</v>
      </c>
      <c r="D97" s="45">
        <f>'часть 1'!J560</f>
        <v>284</v>
      </c>
      <c r="E97" s="45">
        <v>8</v>
      </c>
      <c r="F97" s="48">
        <f>'часть 1'!K560</f>
        <v>24607036.960000001</v>
      </c>
    </row>
    <row r="98" spans="1:6" s="47" customFormat="1" ht="12.75">
      <c r="A98" s="125">
        <v>3</v>
      </c>
      <c r="B98" s="44" t="s">
        <v>153</v>
      </c>
      <c r="C98" s="48">
        <f>'часть 1'!G569</f>
        <v>39368.86</v>
      </c>
      <c r="D98" s="45">
        <f>'часть 1'!J569</f>
        <v>1256</v>
      </c>
      <c r="E98" s="45">
        <v>10</v>
      </c>
      <c r="F98" s="48">
        <f>'часть 1'!K569</f>
        <v>58425787.539999999</v>
      </c>
    </row>
    <row r="99" spans="1:6" s="47" customFormat="1" ht="12.75">
      <c r="A99" s="125">
        <v>4</v>
      </c>
      <c r="B99" s="44" t="s">
        <v>265</v>
      </c>
      <c r="C99" s="48">
        <f>'часть 1'!G580</f>
        <v>8052.5999999999995</v>
      </c>
      <c r="D99" s="45">
        <f>'часть 1'!J580</f>
        <v>232</v>
      </c>
      <c r="E99" s="45">
        <v>3</v>
      </c>
      <c r="F99" s="48">
        <f>'часть 1'!K580</f>
        <v>6722387.4000000004</v>
      </c>
    </row>
    <row r="100" spans="1:6" s="47" customFormat="1" ht="12.75">
      <c r="A100" s="125">
        <v>5</v>
      </c>
      <c r="B100" s="44" t="s">
        <v>222</v>
      </c>
      <c r="C100" s="48">
        <f>'часть 1'!G584</f>
        <v>1562.7999999999997</v>
      </c>
      <c r="D100" s="45">
        <f>'часть 1'!J584</f>
        <v>55</v>
      </c>
      <c r="E100" s="45">
        <v>4</v>
      </c>
      <c r="F100" s="48">
        <f>'часть 1'!K584</f>
        <v>8430904.8399999999</v>
      </c>
    </row>
    <row r="101" spans="1:6" s="47" customFormat="1" ht="12.75">
      <c r="A101" s="125">
        <v>6</v>
      </c>
      <c r="B101" s="44" t="s">
        <v>130</v>
      </c>
      <c r="C101" s="48">
        <f>'часть 1'!G589</f>
        <v>5257</v>
      </c>
      <c r="D101" s="45">
        <f>'часть 1'!J589</f>
        <v>196</v>
      </c>
      <c r="E101" s="45">
        <v>5</v>
      </c>
      <c r="F101" s="48">
        <f>'часть 1'!K589</f>
        <v>19476169</v>
      </c>
    </row>
    <row r="102" spans="1:6" s="47" customFormat="1" ht="12.75">
      <c r="A102" s="125">
        <v>7</v>
      </c>
      <c r="B102" s="44" t="s">
        <v>226</v>
      </c>
      <c r="C102" s="48">
        <f>'часть 1'!G595</f>
        <v>9307.5</v>
      </c>
      <c r="D102" s="45">
        <f>'часть 1'!J595</f>
        <v>295</v>
      </c>
      <c r="E102" s="45">
        <v>15</v>
      </c>
      <c r="F102" s="48">
        <f>'часть 1'!K595</f>
        <v>24258520.459999997</v>
      </c>
    </row>
    <row r="103" spans="1:6" s="47" customFormat="1" ht="12.75">
      <c r="A103" s="125">
        <v>8</v>
      </c>
      <c r="B103" s="50" t="s">
        <v>73</v>
      </c>
      <c r="C103" s="48">
        <f>'часть 1'!G611</f>
        <v>27292.450000000004</v>
      </c>
      <c r="D103" s="45">
        <f>'часть 1'!J611</f>
        <v>879</v>
      </c>
      <c r="E103" s="45">
        <v>11</v>
      </c>
      <c r="F103" s="48">
        <f>'часть 1'!K611</f>
        <v>53939542.290000007</v>
      </c>
    </row>
    <row r="104" spans="1:6" s="47" customFormat="1" ht="12.75">
      <c r="A104" s="125">
        <v>9</v>
      </c>
      <c r="B104" s="144" t="s">
        <v>284</v>
      </c>
      <c r="C104" s="48">
        <f>'часть 1'!G623</f>
        <v>18433.509999999998</v>
      </c>
      <c r="D104" s="45">
        <f>'часть 1'!J623</f>
        <v>653</v>
      </c>
      <c r="E104" s="45">
        <v>20</v>
      </c>
      <c r="F104" s="48">
        <f>'часть 1'!K623</f>
        <v>45943809.200000003</v>
      </c>
    </row>
    <row r="105" spans="1:6" s="47" customFormat="1" ht="12.75">
      <c r="A105" s="125">
        <v>10</v>
      </c>
      <c r="B105" s="50" t="s">
        <v>67</v>
      </c>
      <c r="C105" s="48">
        <f>'часть 1'!G644</f>
        <v>2145.3000000000002</v>
      </c>
      <c r="D105" s="45">
        <f>'часть 1'!J644</f>
        <v>56</v>
      </c>
      <c r="E105" s="45">
        <v>2</v>
      </c>
      <c r="F105" s="48">
        <f>'часть 1'!K644</f>
        <v>7411714.3799999999</v>
      </c>
    </row>
    <row r="106" spans="1:6" s="47" customFormat="1" ht="12.75">
      <c r="A106" s="125">
        <v>11</v>
      </c>
      <c r="B106" s="50" t="s">
        <v>116</v>
      </c>
      <c r="C106" s="48">
        <f>'часть 1'!G647</f>
        <v>5573.3</v>
      </c>
      <c r="D106" s="45">
        <f>'часть 1'!J647</f>
        <v>180</v>
      </c>
      <c r="E106" s="45">
        <v>4</v>
      </c>
      <c r="F106" s="48">
        <f>'часть 1'!K647</f>
        <v>15595538.050000001</v>
      </c>
    </row>
    <row r="107" spans="1:6" s="47" customFormat="1" ht="12.75">
      <c r="A107" s="125">
        <v>12</v>
      </c>
      <c r="B107" s="50" t="s">
        <v>271</v>
      </c>
      <c r="C107" s="48">
        <f>'часть 1'!G652</f>
        <v>789.1</v>
      </c>
      <c r="D107" s="45">
        <f>'часть 1'!J652</f>
        <v>33</v>
      </c>
      <c r="E107" s="45">
        <v>1</v>
      </c>
      <c r="F107" s="48">
        <f>'часть 1'!K652</f>
        <v>1298765.6000000001</v>
      </c>
    </row>
    <row r="108" spans="1:6" s="47" customFormat="1" ht="12.75">
      <c r="A108" s="125">
        <v>13</v>
      </c>
      <c r="B108" s="50" t="s">
        <v>76</v>
      </c>
      <c r="C108" s="48">
        <f>'часть 1'!G654</f>
        <v>8526.4</v>
      </c>
      <c r="D108" s="49">
        <f>'часть 1'!J654</f>
        <v>382</v>
      </c>
      <c r="E108" s="49">
        <v>8</v>
      </c>
      <c r="F108" s="48">
        <f>'часть 1'!K654</f>
        <v>50976925.57</v>
      </c>
    </row>
    <row r="109" spans="1:6" s="47" customFormat="1" ht="12.75">
      <c r="A109" s="125">
        <v>14</v>
      </c>
      <c r="B109" s="50" t="s">
        <v>270</v>
      </c>
      <c r="C109" s="48">
        <f>'часть 1'!G663</f>
        <v>9203</v>
      </c>
      <c r="D109" s="45">
        <f>'часть 1'!J663</f>
        <v>301</v>
      </c>
      <c r="E109" s="45">
        <v>4</v>
      </c>
      <c r="F109" s="48">
        <f>'часть 1'!K663</f>
        <v>16842908.759999998</v>
      </c>
    </row>
    <row r="110" spans="1:6" s="47" customFormat="1" ht="12.75">
      <c r="A110" s="125">
        <v>15</v>
      </c>
      <c r="B110" s="50" t="s">
        <v>161</v>
      </c>
      <c r="C110" s="48">
        <f>'часть 1'!G668</f>
        <v>18567.900000000001</v>
      </c>
      <c r="D110" s="49">
        <f>'часть 1'!J668</f>
        <v>744</v>
      </c>
      <c r="E110" s="49">
        <v>24</v>
      </c>
      <c r="F110" s="48">
        <f>'часть 1'!K668</f>
        <v>94801467.950000003</v>
      </c>
    </row>
    <row r="111" spans="1:6" s="47" customFormat="1" ht="12.75">
      <c r="A111" s="125">
        <v>16</v>
      </c>
      <c r="B111" s="50" t="s">
        <v>143</v>
      </c>
      <c r="C111" s="48">
        <f>'часть 1'!G693</f>
        <v>12165.900000000001</v>
      </c>
      <c r="D111" s="45">
        <f>'часть 1'!J693</f>
        <v>248</v>
      </c>
      <c r="E111" s="45">
        <v>9</v>
      </c>
      <c r="F111" s="48">
        <f>'часть 1'!K693</f>
        <v>46919815.789999992</v>
      </c>
    </row>
    <row r="112" spans="1:6" s="47" customFormat="1" ht="12.75">
      <c r="A112" s="125">
        <v>17</v>
      </c>
      <c r="B112" s="50" t="s">
        <v>233</v>
      </c>
      <c r="C112" s="48">
        <f>'часть 1'!G703</f>
        <v>29426.3</v>
      </c>
      <c r="D112" s="45">
        <f>'часть 1'!J703</f>
        <v>1201</v>
      </c>
      <c r="E112" s="45">
        <v>18</v>
      </c>
      <c r="F112" s="48">
        <f>'часть 1'!K703</f>
        <v>99294461.309999987</v>
      </c>
    </row>
    <row r="113" spans="1:6" s="47" customFormat="1" ht="12.75">
      <c r="A113" s="125">
        <v>18</v>
      </c>
      <c r="B113" s="50" t="s">
        <v>68</v>
      </c>
      <c r="C113" s="48">
        <f>'часть 1'!G722</f>
        <v>563.20000000000005</v>
      </c>
      <c r="D113" s="45">
        <f>'часть 1'!J722</f>
        <v>14</v>
      </c>
      <c r="E113" s="45">
        <v>1</v>
      </c>
      <c r="F113" s="48">
        <f>'часть 1'!K722</f>
        <v>5867103.1600000001</v>
      </c>
    </row>
    <row r="114" spans="1:6" s="47" customFormat="1" ht="12.75">
      <c r="A114" s="125">
        <v>19</v>
      </c>
      <c r="B114" s="50" t="s">
        <v>154</v>
      </c>
      <c r="C114" s="48">
        <f>'часть 1'!G724</f>
        <v>2872</v>
      </c>
      <c r="D114" s="45">
        <f>'часть 1'!J724</f>
        <v>117</v>
      </c>
      <c r="E114" s="45">
        <v>6</v>
      </c>
      <c r="F114" s="48">
        <f>'часть 1'!K724</f>
        <v>9473989.3607999999</v>
      </c>
    </row>
    <row r="115" spans="1:6" s="47" customFormat="1" ht="12.75">
      <c r="A115" s="125">
        <v>20</v>
      </c>
      <c r="B115" s="50" t="s">
        <v>334</v>
      </c>
      <c r="C115" s="48">
        <f>'часть 1'!G731</f>
        <v>17546.2</v>
      </c>
      <c r="D115" s="45">
        <f>'часть 1'!J731</f>
        <v>759</v>
      </c>
      <c r="E115" s="45">
        <v>15</v>
      </c>
      <c r="F115" s="48">
        <f>'часть 1'!K731</f>
        <v>63833714.910000004</v>
      </c>
    </row>
    <row r="116" spans="1:6" s="47" customFormat="1" ht="12.75">
      <c r="A116" s="125">
        <v>21</v>
      </c>
      <c r="B116" s="50" t="s">
        <v>186</v>
      </c>
      <c r="C116" s="48">
        <f>'часть 1'!G747</f>
        <v>9061.9</v>
      </c>
      <c r="D116" s="45">
        <f>'часть 1'!J747</f>
        <v>270</v>
      </c>
      <c r="E116" s="45">
        <v>11</v>
      </c>
      <c r="F116" s="48">
        <f>'часть 1'!K747</f>
        <v>56041143.729999997</v>
      </c>
    </row>
    <row r="117" spans="1:6" s="47" customFormat="1" ht="12.75">
      <c r="A117" s="125">
        <v>22</v>
      </c>
      <c r="B117" s="50" t="s">
        <v>204</v>
      </c>
      <c r="C117" s="48">
        <f>'часть 1'!G808</f>
        <v>7844.1</v>
      </c>
      <c r="D117" s="45">
        <f>'часть 1'!J808</f>
        <v>300</v>
      </c>
      <c r="E117" s="45">
        <v>6</v>
      </c>
      <c r="F117" s="48">
        <f>'часть 1'!K808</f>
        <v>1150975</v>
      </c>
    </row>
    <row r="118" spans="1:6" s="47" customFormat="1" ht="12.75">
      <c r="A118" s="125">
        <v>23</v>
      </c>
      <c r="B118" s="50" t="s">
        <v>280</v>
      </c>
      <c r="C118" s="48">
        <f>'часть 1'!G759</f>
        <v>789.40000000000009</v>
      </c>
      <c r="D118" s="45">
        <f>'часть 1'!J759</f>
        <v>21</v>
      </c>
      <c r="E118" s="45">
        <v>2</v>
      </c>
      <c r="F118" s="48">
        <f>'часть 1'!K759</f>
        <v>4924940.42</v>
      </c>
    </row>
    <row r="119" spans="1:6" s="47" customFormat="1" ht="12.75">
      <c r="A119" s="125">
        <v>24</v>
      </c>
      <c r="B119" s="50" t="s">
        <v>263</v>
      </c>
      <c r="C119" s="48">
        <f>'часть 1'!G762</f>
        <v>830.8</v>
      </c>
      <c r="D119" s="45">
        <f>'часть 1'!J762</f>
        <v>23</v>
      </c>
      <c r="E119" s="45">
        <v>1</v>
      </c>
      <c r="F119" s="48">
        <f>'часть 1'!K762</f>
        <v>4381187.51</v>
      </c>
    </row>
    <row r="120" spans="1:6" s="47" customFormat="1" ht="12.75">
      <c r="A120" s="125">
        <v>25</v>
      </c>
      <c r="B120" s="51" t="s">
        <v>138</v>
      </c>
      <c r="C120" s="48">
        <f>'часть 1'!G764</f>
        <v>411.7</v>
      </c>
      <c r="D120" s="45">
        <f>'часть 1'!J764</f>
        <v>33</v>
      </c>
      <c r="E120" s="45">
        <v>1</v>
      </c>
      <c r="F120" s="48">
        <f>'часть 1'!K764</f>
        <v>2689563.73</v>
      </c>
    </row>
    <row r="121" spans="1:6" s="47" customFormat="1" ht="12.75">
      <c r="A121" s="125">
        <v>26</v>
      </c>
      <c r="B121" s="51" t="s">
        <v>326</v>
      </c>
      <c r="C121" s="48">
        <f>'часть 1'!G766</f>
        <v>36736.53</v>
      </c>
      <c r="D121" s="45">
        <f>'часть 1'!J766</f>
        <v>1098</v>
      </c>
      <c r="E121" s="45">
        <v>19</v>
      </c>
      <c r="F121" s="48">
        <f>'часть 1'!K766</f>
        <v>120533255.84981202</v>
      </c>
    </row>
    <row r="122" spans="1:6" s="47" customFormat="1" ht="12.75">
      <c r="A122" s="125">
        <v>27</v>
      </c>
      <c r="B122" s="51" t="s">
        <v>327</v>
      </c>
      <c r="C122" s="48">
        <f>'часть 1'!G786</f>
        <v>626</v>
      </c>
      <c r="D122" s="45">
        <f>'часть 1'!J786</f>
        <v>18</v>
      </c>
      <c r="E122" s="45">
        <v>1</v>
      </c>
      <c r="F122" s="48">
        <f>'часть 1'!K786</f>
        <v>5436503.79</v>
      </c>
    </row>
    <row r="123" spans="1:6" s="47" customFormat="1" ht="12.75">
      <c r="A123" s="125">
        <v>28</v>
      </c>
      <c r="B123" s="50" t="s">
        <v>141</v>
      </c>
      <c r="C123" s="48">
        <f>'часть 1'!G788</f>
        <v>829.3</v>
      </c>
      <c r="D123" s="45">
        <f>'часть 1'!J788</f>
        <v>27</v>
      </c>
      <c r="E123" s="45">
        <v>1</v>
      </c>
      <c r="F123" s="48">
        <f>'часть 1'!K788</f>
        <v>6433203.5</v>
      </c>
    </row>
    <row r="124" spans="1:6" s="47" customFormat="1" ht="12.75">
      <c r="A124" s="125">
        <v>29</v>
      </c>
      <c r="B124" s="50" t="s">
        <v>181</v>
      </c>
      <c r="C124" s="48">
        <f>'часть 1'!G790</f>
        <v>783.2</v>
      </c>
      <c r="D124" s="45">
        <f>'часть 1'!J790</f>
        <v>32</v>
      </c>
      <c r="E124" s="45">
        <v>1</v>
      </c>
      <c r="F124" s="48">
        <f>'часть 1'!K790</f>
        <v>3176559.9399999995</v>
      </c>
    </row>
    <row r="125" spans="1:6" s="47" customFormat="1" ht="12.75">
      <c r="A125" s="125">
        <v>30</v>
      </c>
      <c r="B125" s="50" t="s">
        <v>139</v>
      </c>
      <c r="C125" s="48">
        <f>'часть 1'!G792</f>
        <v>848.7</v>
      </c>
      <c r="D125" s="45">
        <f>'часть 1'!J792</f>
        <v>30</v>
      </c>
      <c r="E125" s="45">
        <v>1</v>
      </c>
      <c r="F125" s="48">
        <f>'часть 1'!K792</f>
        <v>6445590.3600000003</v>
      </c>
    </row>
    <row r="126" spans="1:6" s="47" customFormat="1" ht="12.75">
      <c r="A126" s="125">
        <v>31</v>
      </c>
      <c r="B126" s="51" t="s">
        <v>318</v>
      </c>
      <c r="C126" s="48">
        <f>'часть 1'!G794</f>
        <v>285</v>
      </c>
      <c r="D126" s="45">
        <f>'часть 1'!J794</f>
        <v>15</v>
      </c>
      <c r="E126" s="45">
        <v>1</v>
      </c>
      <c r="F126" s="48">
        <f>'часть 1'!K794</f>
        <v>2708106.47</v>
      </c>
    </row>
    <row r="127" spans="1:6" s="47" customFormat="1" ht="12.75">
      <c r="A127" s="125">
        <v>32</v>
      </c>
      <c r="B127" s="51" t="s">
        <v>183</v>
      </c>
      <c r="C127" s="48">
        <f>'часть 1'!G796</f>
        <v>821</v>
      </c>
      <c r="D127" s="45">
        <f>'часть 1'!J796</f>
        <v>28</v>
      </c>
      <c r="E127" s="45">
        <v>2</v>
      </c>
      <c r="F127" s="48">
        <f>'часть 1'!K796</f>
        <v>4148694.49</v>
      </c>
    </row>
    <row r="128" spans="1:6" s="47" customFormat="1" ht="12.75">
      <c r="A128" s="125">
        <v>33</v>
      </c>
      <c r="B128" s="51" t="s">
        <v>333</v>
      </c>
      <c r="C128" s="48">
        <f>'часть 1'!G799</f>
        <v>1820.1999999999998</v>
      </c>
      <c r="D128" s="45">
        <f>'часть 1'!J799</f>
        <v>87</v>
      </c>
      <c r="E128" s="45">
        <v>2</v>
      </c>
      <c r="F128" s="48">
        <f>'часть 1'!K799</f>
        <v>9664284.9000000004</v>
      </c>
    </row>
    <row r="129" spans="1:6" s="47" customFormat="1" ht="75" customHeight="1">
      <c r="A129" s="219" t="s">
        <v>642</v>
      </c>
      <c r="B129" s="219"/>
      <c r="C129" s="219"/>
      <c r="D129" s="219"/>
      <c r="E129" s="219"/>
      <c r="F129" s="219"/>
    </row>
    <row r="130" spans="1:6" s="47" customFormat="1" ht="57.75" customHeight="1">
      <c r="A130" s="219" t="s">
        <v>643</v>
      </c>
      <c r="B130" s="219"/>
      <c r="C130" s="219"/>
      <c r="D130" s="219"/>
      <c r="E130" s="219"/>
      <c r="F130" s="219"/>
    </row>
    <row r="131" spans="1:6">
      <c r="F131" s="57"/>
    </row>
  </sheetData>
  <mergeCells count="14">
    <mergeCell ref="A130:F130"/>
    <mergeCell ref="A129:F129"/>
    <mergeCell ref="A39:F39"/>
    <mergeCell ref="A67:F67"/>
    <mergeCell ref="A94:F94"/>
    <mergeCell ref="A6:F6"/>
    <mergeCell ref="A8:F8"/>
    <mergeCell ref="A1:F1"/>
    <mergeCell ref="A2:A4"/>
    <mergeCell ref="B2:B4"/>
    <mergeCell ref="C2:C3"/>
    <mergeCell ref="D2:D3"/>
    <mergeCell ref="E2:E3"/>
    <mergeCell ref="F2:F3"/>
  </mergeCells>
  <printOptions horizontalCentered="1"/>
  <pageMargins left="0.59055118110236227" right="0.59055118110236227" top="1.1811023622047245" bottom="0.78740157480314965" header="0.59055118110236227" footer="0.51181102362204722"/>
  <pageSetup paperSize="9" scale="85" firstPageNumber="36" fitToHeight="0" orientation="landscape" useFirstPageNumber="1" r:id="rId1"/>
  <headerFooter>
    <oddHeader>&amp;C&amp;"Times New Roman,обычный"&amp;8&amp;K000000&amp;P</oddHeader>
  </headerFooter>
  <rowBreaks count="2" manualBreakCount="2">
    <brk id="34" max="5" man="1"/>
    <brk id="69" max="5" man="1"/>
  </rowBreaks>
  <colBreaks count="1" manualBreakCount="1">
    <brk id="6" max="1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часть 1</vt:lpstr>
      <vt:lpstr>часть 2</vt:lpstr>
      <vt:lpstr>часть 3</vt:lpstr>
      <vt:lpstr>'часть 1'!Заголовки_для_печати</vt:lpstr>
      <vt:lpstr>'часть 2'!Заголовки_для_печати</vt:lpstr>
      <vt:lpstr>'часть 3'!Заголовки_для_печати</vt:lpstr>
      <vt:lpstr>'часть 1'!Область_печати</vt:lpstr>
      <vt:lpstr>'часть 2'!Область_печати</vt:lpstr>
      <vt:lpstr>'часть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Елена Климова</cp:lastModifiedBy>
  <cp:lastPrinted>2026-02-11T12:58:14Z</cp:lastPrinted>
  <dcterms:created xsi:type="dcterms:W3CDTF">2012-12-13T11:50:40Z</dcterms:created>
  <dcterms:modified xsi:type="dcterms:W3CDTF">2026-02-11T13:21:20Z</dcterms:modified>
</cp:coreProperties>
</file>